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User\Desktop\LOTERIA DE BOGOTA\PLANEACION\PLANEACION 2025\RIESGOS\RIESGOS\2026\Soportes Modificación Matriz de riesgos V1-2026\"/>
    </mc:Choice>
  </mc:AlternateContent>
  <bookViews>
    <workbookView xWindow="0" yWindow="0" windowWidth="20490" windowHeight="7005" firstSheet="3" activeTab="7"/>
  </bookViews>
  <sheets>
    <sheet name="Listas" sheetId="2" state="hidden" r:id="rId1"/>
    <sheet name="Control de cambios" sheetId="3" r:id="rId2"/>
    <sheet name="Ayudas diligenciamiento" sheetId="1" r:id="rId3"/>
    <sheet name="Inventario" sheetId="4" r:id="rId4"/>
    <sheet name="formulas" sheetId="5" state="hidden" r:id="rId5"/>
    <sheet name="Riesgos de Corrupción" sheetId="6" r:id="rId6"/>
    <sheet name="Planeacion y D Estratégico" sheetId="7" r:id="rId7"/>
    <sheet name="G. Comunicaciones" sheetId="8" r:id="rId8"/>
    <sheet name="Explotación JSA AP" sheetId="9" r:id="rId9"/>
    <sheet name="Explotación JSA DOPC" sheetId="10" r:id="rId10"/>
    <sheet name="Control, Ins y Fisca" sheetId="11" r:id="rId11"/>
    <sheet name="Recaudo" sheetId="12" r:id="rId12"/>
    <sheet name="Atención al cliente" sheetId="13" r:id="rId13"/>
    <sheet name="G. TH" sheetId="14" r:id="rId14"/>
    <sheet name="G. Financiera" sheetId="15" r:id="rId15"/>
    <sheet name="Gestión ByS" sheetId="16" r:id="rId16"/>
    <sheet name="G. Documental" sheetId="17" r:id="rId17"/>
    <sheet name="G. TIC" sheetId="18" r:id="rId18"/>
    <sheet name="G. Jurídica" sheetId="19" r:id="rId19"/>
    <sheet name="Evaluación Independiente G" sheetId="20" r:id="rId20"/>
    <sheet name="Control Disciplinario Interno" sheetId="21" r:id="rId21"/>
    <sheet name="Protección de Datos Personales" sheetId="22" r:id="rId22"/>
  </sheets>
  <definedNames>
    <definedName name="_xlnm._FilterDatabase" localSheetId="6" hidden="1">'Planeacion y D Estratégico'!#REF!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9" l="1"/>
  <c r="N5" i="19"/>
  <c r="P5" i="19"/>
  <c r="R5" i="19"/>
  <c r="W5" i="19"/>
  <c r="Y5" i="19"/>
  <c r="AA5" i="19"/>
  <c r="AE5" i="19"/>
  <c r="AG5" i="19"/>
  <c r="AH5" i="19" s="1"/>
  <c r="I7" i="4"/>
  <c r="I6" i="4"/>
  <c r="L4" i="22"/>
  <c r="V4" i="22"/>
  <c r="N4" i="22"/>
  <c r="P4" i="22"/>
  <c r="R4" i="22"/>
  <c r="U4" i="22"/>
  <c r="X4" i="22"/>
  <c r="Y4" i="22"/>
  <c r="AE4" i="22"/>
  <c r="AG4" i="22"/>
  <c r="AH4" i="22"/>
  <c r="L5" i="22"/>
  <c r="V5" i="22"/>
  <c r="N5" i="22"/>
  <c r="P5" i="22"/>
  <c r="R5" i="22"/>
  <c r="U5" i="22"/>
  <c r="X5" i="22"/>
  <c r="Y5" i="22"/>
  <c r="AE5" i="22"/>
  <c r="AG5" i="22"/>
  <c r="AH5" i="22"/>
  <c r="AN5" i="22"/>
  <c r="L6" i="22"/>
  <c r="N6" i="22"/>
  <c r="P6" i="22"/>
  <c r="R6" i="22"/>
  <c r="V6" i="22"/>
  <c r="W6" i="22"/>
  <c r="AE6" i="22"/>
  <c r="AG6" i="22"/>
  <c r="AH6" i="22" s="1"/>
  <c r="L4" i="21"/>
  <c r="V4" i="21"/>
  <c r="W4" i="21"/>
  <c r="N4" i="21"/>
  <c r="P4" i="21"/>
  <c r="R4" i="21"/>
  <c r="U4" i="21"/>
  <c r="X4" i="21"/>
  <c r="Y4" i="21"/>
  <c r="AE4" i="21"/>
  <c r="AG4" i="21"/>
  <c r="AH4" i="21"/>
  <c r="L5" i="21"/>
  <c r="V5" i="21"/>
  <c r="N5" i="21"/>
  <c r="P5" i="21"/>
  <c r="R5" i="21"/>
  <c r="AE5" i="21"/>
  <c r="AG5" i="21"/>
  <c r="AH5" i="21" s="1"/>
  <c r="AN5" i="21"/>
  <c r="L6" i="21"/>
  <c r="V6" i="21"/>
  <c r="N6" i="21"/>
  <c r="P6" i="21"/>
  <c r="R6" i="21"/>
  <c r="U6" i="21" s="1"/>
  <c r="X6" i="21" s="1"/>
  <c r="Y6" i="21" s="1"/>
  <c r="W6" i="21"/>
  <c r="AE6" i="21"/>
  <c r="AG6" i="21"/>
  <c r="AH6" i="21"/>
  <c r="L7" i="21"/>
  <c r="N7" i="21"/>
  <c r="P7" i="21"/>
  <c r="R7" i="21"/>
  <c r="V7" i="21"/>
  <c r="W7" i="21"/>
  <c r="AE7" i="21"/>
  <c r="AG7" i="21"/>
  <c r="AH7" i="21" s="1"/>
  <c r="L8" i="21"/>
  <c r="N8" i="21"/>
  <c r="P8" i="21"/>
  <c r="R8" i="21"/>
  <c r="V8" i="21"/>
  <c r="W8" i="21"/>
  <c r="AE8" i="21"/>
  <c r="AG8" i="21"/>
  <c r="AH8" i="21"/>
  <c r="L9" i="21"/>
  <c r="N9" i="21"/>
  <c r="P9" i="21"/>
  <c r="R9" i="21"/>
  <c r="U9" i="21"/>
  <c r="W9" i="21"/>
  <c r="Y9" i="21"/>
  <c r="AA9" i="21"/>
  <c r="AE9" i="21"/>
  <c r="AG9" i="21"/>
  <c r="L10" i="21"/>
  <c r="N10" i="21"/>
  <c r="P10" i="21"/>
  <c r="R10" i="21"/>
  <c r="U10" i="21"/>
  <c r="W10" i="21"/>
  <c r="Y10" i="21"/>
  <c r="AA10" i="21"/>
  <c r="AE10" i="21"/>
  <c r="AG10" i="21"/>
  <c r="AH10" i="21" s="1"/>
  <c r="L11" i="21"/>
  <c r="N11" i="21"/>
  <c r="P11" i="21"/>
  <c r="R11" i="21"/>
  <c r="V11" i="21"/>
  <c r="W11" i="21"/>
  <c r="AE11" i="21"/>
  <c r="AG11" i="21"/>
  <c r="AH11" i="21"/>
  <c r="AN11" i="21"/>
  <c r="L12" i="21"/>
  <c r="V12" i="21"/>
  <c r="W12" i="21"/>
  <c r="N12" i="21"/>
  <c r="P12" i="21"/>
  <c r="R12" i="21"/>
  <c r="U12" i="21"/>
  <c r="X12" i="21"/>
  <c r="Y12" i="21"/>
  <c r="AE12" i="21"/>
  <c r="AG12" i="21"/>
  <c r="AH12" i="21"/>
  <c r="L4" i="20"/>
  <c r="V4" i="20"/>
  <c r="N4" i="20"/>
  <c r="P4" i="20"/>
  <c r="R4" i="20"/>
  <c r="AE4" i="20"/>
  <c r="AG4" i="20"/>
  <c r="AH4" i="20" s="1"/>
  <c r="L5" i="20"/>
  <c r="N5" i="20"/>
  <c r="P5" i="20"/>
  <c r="R5" i="20"/>
  <c r="U5" i="20" s="1"/>
  <c r="W5" i="20"/>
  <c r="Y5" i="20"/>
  <c r="AA5" i="20"/>
  <c r="AE5" i="20"/>
  <c r="AG5" i="20"/>
  <c r="AH5" i="20"/>
  <c r="L6" i="20"/>
  <c r="N6" i="20"/>
  <c r="P6" i="20"/>
  <c r="R6" i="20"/>
  <c r="W6" i="20"/>
  <c r="Y6" i="20"/>
  <c r="AA6" i="20"/>
  <c r="AE6" i="20"/>
  <c r="AG6" i="20"/>
  <c r="AH6" i="20"/>
  <c r="L7" i="20"/>
  <c r="N7" i="20"/>
  <c r="P7" i="20"/>
  <c r="R7" i="20"/>
  <c r="V7" i="20"/>
  <c r="W7" i="20"/>
  <c r="AE7" i="20"/>
  <c r="AG7" i="20"/>
  <c r="AH7" i="20"/>
  <c r="L8" i="20"/>
  <c r="N8" i="20"/>
  <c r="P8" i="20"/>
  <c r="R8" i="20"/>
  <c r="U8" i="20"/>
  <c r="W8" i="20"/>
  <c r="Y8" i="20"/>
  <c r="AA8" i="20"/>
  <c r="AE8" i="20"/>
  <c r="AG8" i="20"/>
  <c r="L9" i="20"/>
  <c r="V9" i="20"/>
  <c r="N9" i="20"/>
  <c r="P9" i="20"/>
  <c r="R9" i="20"/>
  <c r="U9" i="20" s="1"/>
  <c r="X9" i="20" s="1"/>
  <c r="Y9" i="20"/>
  <c r="AE9" i="20"/>
  <c r="AG9" i="20"/>
  <c r="AH9" i="20"/>
  <c r="L10" i="20"/>
  <c r="N10" i="20"/>
  <c r="P10" i="20"/>
  <c r="R10" i="20"/>
  <c r="W10" i="20"/>
  <c r="Y10" i="20"/>
  <c r="AA10" i="20"/>
  <c r="AE10" i="20"/>
  <c r="AG10" i="20"/>
  <c r="AH10" i="20"/>
  <c r="L11" i="20"/>
  <c r="N11" i="20"/>
  <c r="P11" i="20"/>
  <c r="R11" i="20"/>
  <c r="V11" i="20"/>
  <c r="W11" i="20"/>
  <c r="AE11" i="20"/>
  <c r="AG11" i="20"/>
  <c r="AH11" i="20"/>
  <c r="L12" i="20"/>
  <c r="V12" i="20"/>
  <c r="W12" i="20"/>
  <c r="N12" i="20"/>
  <c r="P12" i="20"/>
  <c r="R12" i="20"/>
  <c r="U12" i="20"/>
  <c r="X12" i="20"/>
  <c r="Y12" i="20"/>
  <c r="AE12" i="20"/>
  <c r="AG12" i="20"/>
  <c r="AH12" i="20"/>
  <c r="L13" i="20"/>
  <c r="N13" i="20"/>
  <c r="P13" i="20"/>
  <c r="R13" i="20"/>
  <c r="U13" i="20" s="1"/>
  <c r="W13" i="20"/>
  <c r="Y13" i="20"/>
  <c r="AA13" i="20"/>
  <c r="AE13" i="20"/>
  <c r="AG13" i="20"/>
  <c r="AH13" i="20"/>
  <c r="L14" i="20"/>
  <c r="N14" i="20"/>
  <c r="P14" i="20"/>
  <c r="R14" i="20"/>
  <c r="V14" i="20"/>
  <c r="AE14" i="20"/>
  <c r="AG14" i="20"/>
  <c r="AH14" i="20" s="1"/>
  <c r="AN14" i="20"/>
  <c r="L15" i="20"/>
  <c r="N15" i="20"/>
  <c r="P15" i="20"/>
  <c r="R15" i="20"/>
  <c r="U15" i="20" s="1"/>
  <c r="X15" i="20" s="1"/>
  <c r="Y15" i="20" s="1"/>
  <c r="V15" i="20"/>
  <c r="W15" i="20"/>
  <c r="AE15" i="20"/>
  <c r="AG15" i="20"/>
  <c r="AH15" i="20" s="1"/>
  <c r="L4" i="19"/>
  <c r="N4" i="19"/>
  <c r="P4" i="19"/>
  <c r="R4" i="19"/>
  <c r="V4" i="19"/>
  <c r="W4" i="19"/>
  <c r="AE4" i="19"/>
  <c r="AG4" i="19"/>
  <c r="AH4" i="19"/>
  <c r="L6" i="19"/>
  <c r="N6" i="19"/>
  <c r="P6" i="19"/>
  <c r="R6" i="19"/>
  <c r="U6" i="19" s="1"/>
  <c r="W6" i="19"/>
  <c r="Y6" i="19"/>
  <c r="AA6" i="19"/>
  <c r="AE6" i="19"/>
  <c r="AG6" i="19"/>
  <c r="L7" i="19"/>
  <c r="V7" i="19"/>
  <c r="W7" i="19"/>
  <c r="N7" i="19"/>
  <c r="P7" i="19"/>
  <c r="R7" i="19"/>
  <c r="AE7" i="19"/>
  <c r="AG7" i="19"/>
  <c r="AH7" i="19"/>
  <c r="L8" i="19"/>
  <c r="N8" i="19"/>
  <c r="P8" i="19"/>
  <c r="R8" i="19"/>
  <c r="W8" i="19"/>
  <c r="Y8" i="19"/>
  <c r="AA8" i="19"/>
  <c r="L9" i="19"/>
  <c r="V9" i="19"/>
  <c r="N9" i="19"/>
  <c r="P9" i="19"/>
  <c r="R9" i="19"/>
  <c r="U9" i="19"/>
  <c r="X9" i="19"/>
  <c r="Y9" i="19"/>
  <c r="AE9" i="19"/>
  <c r="AG9" i="19"/>
  <c r="AH9" i="19"/>
  <c r="L10" i="19"/>
  <c r="N10" i="19"/>
  <c r="P10" i="19"/>
  <c r="R10" i="19"/>
  <c r="W10" i="19"/>
  <c r="Y10" i="19"/>
  <c r="AA10" i="19"/>
  <c r="AE10" i="19"/>
  <c r="AG10" i="19"/>
  <c r="AH10" i="19"/>
  <c r="L11" i="19"/>
  <c r="V11" i="19"/>
  <c r="W11" i="19"/>
  <c r="N11" i="19"/>
  <c r="P11" i="19"/>
  <c r="R11" i="19"/>
  <c r="AE11" i="19"/>
  <c r="AG11" i="19"/>
  <c r="AH11" i="19"/>
  <c r="AN11" i="19"/>
  <c r="L12" i="19"/>
  <c r="N12" i="19"/>
  <c r="P12" i="19"/>
  <c r="R12" i="19"/>
  <c r="U12" i="19" s="1"/>
  <c r="W12" i="19"/>
  <c r="Y12" i="19"/>
  <c r="AA12" i="19"/>
  <c r="AE12" i="19"/>
  <c r="AG12" i="19"/>
  <c r="AH12" i="19" s="1"/>
  <c r="L13" i="19"/>
  <c r="V13" i="19"/>
  <c r="N13" i="19"/>
  <c r="P13" i="19"/>
  <c r="R13" i="19"/>
  <c r="AE13" i="19"/>
  <c r="AG13" i="19"/>
  <c r="L14" i="19"/>
  <c r="V14" i="19"/>
  <c r="N14" i="19"/>
  <c r="P14" i="19"/>
  <c r="R14" i="19"/>
  <c r="AE14" i="19"/>
  <c r="AG14" i="19"/>
  <c r="AH14" i="19" s="1"/>
  <c r="AN14" i="19"/>
  <c r="L15" i="19"/>
  <c r="V15" i="19"/>
  <c r="N15" i="19"/>
  <c r="P15" i="19"/>
  <c r="R15" i="19"/>
  <c r="AE15" i="19"/>
  <c r="AG15" i="19"/>
  <c r="AH15" i="19"/>
  <c r="L4" i="18"/>
  <c r="N4" i="18"/>
  <c r="P4" i="18"/>
  <c r="R4" i="18"/>
  <c r="V4" i="18"/>
  <c r="W4" i="18"/>
  <c r="AE4" i="18"/>
  <c r="AG4" i="18"/>
  <c r="AH4" i="18"/>
  <c r="N5" i="18"/>
  <c r="P5" i="18"/>
  <c r="R5" i="18"/>
  <c r="W5" i="18"/>
  <c r="Y5" i="18"/>
  <c r="AA5" i="18"/>
  <c r="AE5" i="18"/>
  <c r="AG5" i="18"/>
  <c r="AH5" i="18"/>
  <c r="L6" i="18"/>
  <c r="V6" i="18"/>
  <c r="N6" i="18"/>
  <c r="P6" i="18"/>
  <c r="R6" i="18"/>
  <c r="U6" i="18"/>
  <c r="X6" i="18"/>
  <c r="Y6" i="18"/>
  <c r="AE6" i="18"/>
  <c r="AG6" i="18"/>
  <c r="AH6" i="18"/>
  <c r="N7" i="18"/>
  <c r="P7" i="18"/>
  <c r="R7" i="18"/>
  <c r="U7" i="18"/>
  <c r="W7" i="18"/>
  <c r="Y7" i="18"/>
  <c r="AA7" i="18"/>
  <c r="AE7" i="18"/>
  <c r="AG7" i="18"/>
  <c r="AH7" i="18"/>
  <c r="L8" i="18"/>
  <c r="V8" i="18"/>
  <c r="W8" i="18"/>
  <c r="N8" i="18"/>
  <c r="P8" i="18"/>
  <c r="R8" i="18"/>
  <c r="AE8" i="18"/>
  <c r="AG8" i="18"/>
  <c r="AH8" i="18"/>
  <c r="N9" i="18"/>
  <c r="P9" i="18"/>
  <c r="R9" i="18"/>
  <c r="W9" i="18"/>
  <c r="Y9" i="18"/>
  <c r="AA9" i="18"/>
  <c r="AE9" i="18"/>
  <c r="AG9" i="18"/>
  <c r="AH9" i="18"/>
  <c r="L10" i="18"/>
  <c r="N10" i="18"/>
  <c r="P10" i="18"/>
  <c r="R10" i="18"/>
  <c r="V10" i="18"/>
  <c r="AE10" i="18"/>
  <c r="AG10" i="18"/>
  <c r="AH10" i="18" s="1"/>
  <c r="L11" i="18"/>
  <c r="N11" i="18"/>
  <c r="P11" i="18"/>
  <c r="R11" i="18"/>
  <c r="V11" i="18"/>
  <c r="W11" i="18"/>
  <c r="AE11" i="18"/>
  <c r="AG11" i="18"/>
  <c r="AH11" i="18"/>
  <c r="L12" i="18"/>
  <c r="V12" i="18"/>
  <c r="W12" i="18"/>
  <c r="N12" i="18"/>
  <c r="P12" i="18"/>
  <c r="R12" i="18"/>
  <c r="U12" i="18"/>
  <c r="X12" i="18"/>
  <c r="Y12" i="18"/>
  <c r="AE12" i="18"/>
  <c r="AG12" i="18"/>
  <c r="AH12" i="18"/>
  <c r="N13" i="18"/>
  <c r="P13" i="18"/>
  <c r="R13" i="18"/>
  <c r="W13" i="18"/>
  <c r="Y13" i="18"/>
  <c r="AA13" i="18"/>
  <c r="AE13" i="18"/>
  <c r="AG13" i="18"/>
  <c r="AH13" i="18"/>
  <c r="L14" i="18"/>
  <c r="N14" i="18"/>
  <c r="P14" i="18"/>
  <c r="R14" i="18"/>
  <c r="U14" i="18"/>
  <c r="X14" i="18"/>
  <c r="Y14" i="18"/>
  <c r="V14" i="18"/>
  <c r="AE14" i="18"/>
  <c r="AG14" i="18"/>
  <c r="AH14" i="18"/>
  <c r="N15" i="18"/>
  <c r="P15" i="18"/>
  <c r="R15" i="18"/>
  <c r="U15" i="18" s="1"/>
  <c r="W15" i="18"/>
  <c r="Y15" i="18"/>
  <c r="AA15" i="18"/>
  <c r="AE15" i="18"/>
  <c r="AG15" i="18"/>
  <c r="AH15" i="18"/>
  <c r="L16" i="18"/>
  <c r="V16" i="18"/>
  <c r="N16" i="18"/>
  <c r="P16" i="18"/>
  <c r="R16" i="18"/>
  <c r="AE16" i="18"/>
  <c r="AG16" i="18"/>
  <c r="AH16" i="18" s="1"/>
  <c r="N17" i="18"/>
  <c r="P17" i="18"/>
  <c r="R17" i="18"/>
  <c r="W17" i="18"/>
  <c r="Y17" i="18"/>
  <c r="AA17" i="18"/>
  <c r="AE17" i="18"/>
  <c r="AG17" i="18"/>
  <c r="AH17" i="18"/>
  <c r="L18" i="18"/>
  <c r="V18" i="18"/>
  <c r="N18" i="18"/>
  <c r="P18" i="18"/>
  <c r="R18" i="18"/>
  <c r="AE18" i="18"/>
  <c r="AG18" i="18"/>
  <c r="AH18" i="18"/>
  <c r="AN18" i="18"/>
  <c r="L19" i="18"/>
  <c r="V19" i="18"/>
  <c r="W19" i="18"/>
  <c r="N19" i="18"/>
  <c r="P19" i="18"/>
  <c r="R19" i="18"/>
  <c r="AE19" i="18"/>
  <c r="AG19" i="18"/>
  <c r="AH19" i="18"/>
  <c r="L4" i="17"/>
  <c r="V4" i="17"/>
  <c r="W4" i="17"/>
  <c r="N4" i="17"/>
  <c r="P4" i="17"/>
  <c r="R4" i="17"/>
  <c r="AE4" i="17"/>
  <c r="AG4" i="17"/>
  <c r="W5" i="17"/>
  <c r="Y5" i="17"/>
  <c r="AA5" i="17"/>
  <c r="AE5" i="17"/>
  <c r="AG5" i="17"/>
  <c r="AH5" i="17" s="1"/>
  <c r="L6" i="17"/>
  <c r="N6" i="17"/>
  <c r="P6" i="17"/>
  <c r="R6" i="17"/>
  <c r="V6" i="17"/>
  <c r="W6" i="17"/>
  <c r="AE6" i="17"/>
  <c r="AG6" i="17"/>
  <c r="AH6" i="17" s="1"/>
  <c r="W7" i="17"/>
  <c r="Y7" i="17"/>
  <c r="AA7" i="17"/>
  <c r="AE7" i="17"/>
  <c r="AG7" i="17"/>
  <c r="AH7" i="17"/>
  <c r="L8" i="17"/>
  <c r="N8" i="17"/>
  <c r="P8" i="17"/>
  <c r="R8" i="17"/>
  <c r="V8" i="17"/>
  <c r="W8" i="17"/>
  <c r="AE8" i="17"/>
  <c r="AG8" i="17"/>
  <c r="AH8" i="17"/>
  <c r="L9" i="17"/>
  <c r="V9" i="17"/>
  <c r="W9" i="17"/>
  <c r="N9" i="17"/>
  <c r="P9" i="17"/>
  <c r="R9" i="17"/>
  <c r="AE9" i="17"/>
  <c r="AG9" i="17"/>
  <c r="AH9" i="17"/>
  <c r="AN9" i="17"/>
  <c r="L10" i="17"/>
  <c r="V10" i="17"/>
  <c r="N10" i="17"/>
  <c r="P10" i="17"/>
  <c r="R10" i="17"/>
  <c r="U10" i="17" s="1"/>
  <c r="X10" i="17" s="1"/>
  <c r="Y10" i="17"/>
  <c r="AE10" i="17"/>
  <c r="AG10" i="17"/>
  <c r="AH10" i="17"/>
  <c r="L4" i="16"/>
  <c r="N4" i="16"/>
  <c r="P4" i="16"/>
  <c r="R4" i="16"/>
  <c r="V4" i="16"/>
  <c r="W4" i="16"/>
  <c r="AE4" i="16"/>
  <c r="AG4" i="16"/>
  <c r="AH4" i="16"/>
  <c r="AN4" i="16"/>
  <c r="N5" i="16"/>
  <c r="P5" i="16"/>
  <c r="R5" i="16"/>
  <c r="U5" i="16"/>
  <c r="W5" i="16"/>
  <c r="Y5" i="16"/>
  <c r="AA5" i="16"/>
  <c r="AE5" i="16"/>
  <c r="AG5" i="16"/>
  <c r="N6" i="16"/>
  <c r="P6" i="16"/>
  <c r="R6" i="16"/>
  <c r="U6" i="16" s="1"/>
  <c r="W6" i="16"/>
  <c r="Y6" i="16"/>
  <c r="AA6" i="16"/>
  <c r="AE6" i="16"/>
  <c r="AG6" i="16"/>
  <c r="AH6" i="16"/>
  <c r="L7" i="16"/>
  <c r="V7" i="16"/>
  <c r="N7" i="16"/>
  <c r="P7" i="16"/>
  <c r="R7" i="16"/>
  <c r="U7" i="16"/>
  <c r="X7" i="16"/>
  <c r="Y7" i="16"/>
  <c r="W7" i="16"/>
  <c r="AE7" i="16"/>
  <c r="AG7" i="16"/>
  <c r="AN7" i="16"/>
  <c r="N8" i="16"/>
  <c r="P8" i="16"/>
  <c r="R8" i="16"/>
  <c r="U8" i="16"/>
  <c r="W8" i="16"/>
  <c r="Y8" i="16"/>
  <c r="AA8" i="16"/>
  <c r="L9" i="16"/>
  <c r="N9" i="16"/>
  <c r="P9" i="16"/>
  <c r="R9" i="16"/>
  <c r="U9" i="16"/>
  <c r="X9" i="16"/>
  <c r="Y9" i="16"/>
  <c r="V9" i="16"/>
  <c r="AE9" i="16"/>
  <c r="AG9" i="16"/>
  <c r="AH9" i="16" s="1"/>
  <c r="AN9" i="16"/>
  <c r="N10" i="16"/>
  <c r="P10" i="16"/>
  <c r="R10" i="16"/>
  <c r="W10" i="16"/>
  <c r="Y10" i="16"/>
  <c r="AA10" i="16"/>
  <c r="AE10" i="16"/>
  <c r="AG10" i="16"/>
  <c r="AH10" i="16"/>
  <c r="L11" i="16"/>
  <c r="V11" i="16"/>
  <c r="N11" i="16"/>
  <c r="P11" i="16"/>
  <c r="R11" i="16"/>
  <c r="AE11" i="16"/>
  <c r="AG11" i="16"/>
  <c r="AH11" i="16" s="1"/>
  <c r="N12" i="16"/>
  <c r="P12" i="16"/>
  <c r="R12" i="16"/>
  <c r="W12" i="16"/>
  <c r="Y12" i="16"/>
  <c r="AA12" i="16"/>
  <c r="AE12" i="16"/>
  <c r="AG12" i="16"/>
  <c r="AH12" i="16"/>
  <c r="L13" i="16"/>
  <c r="V13" i="16"/>
  <c r="N13" i="16"/>
  <c r="P13" i="16"/>
  <c r="R13" i="16"/>
  <c r="AE13" i="16"/>
  <c r="AG13" i="16"/>
  <c r="AH13" i="16" s="1"/>
  <c r="AN13" i="16"/>
  <c r="N14" i="16"/>
  <c r="P14" i="16"/>
  <c r="R14" i="16"/>
  <c r="W14" i="16"/>
  <c r="Y14" i="16"/>
  <c r="AA14" i="16"/>
  <c r="AE14" i="16"/>
  <c r="AG14" i="16"/>
  <c r="AH14" i="16" s="1"/>
  <c r="N15" i="16"/>
  <c r="P15" i="16"/>
  <c r="R15" i="16"/>
  <c r="W15" i="16"/>
  <c r="Y15" i="16"/>
  <c r="AA15" i="16"/>
  <c r="AE15" i="16"/>
  <c r="AG15" i="16"/>
  <c r="AH15" i="16" s="1"/>
  <c r="L16" i="16"/>
  <c r="V16" i="16"/>
  <c r="N16" i="16"/>
  <c r="P16" i="16"/>
  <c r="R16" i="16"/>
  <c r="AE16" i="16"/>
  <c r="AG16" i="16"/>
  <c r="AH16" i="16" s="1"/>
  <c r="N17" i="16"/>
  <c r="P17" i="16"/>
  <c r="R17" i="16"/>
  <c r="W17" i="16"/>
  <c r="Y17" i="16"/>
  <c r="AA17" i="16"/>
  <c r="L18" i="16"/>
  <c r="V18" i="16"/>
  <c r="N18" i="16"/>
  <c r="P18" i="16"/>
  <c r="R18" i="16"/>
  <c r="U18" i="16" s="1"/>
  <c r="X18" i="16" s="1"/>
  <c r="Y18" i="16" s="1"/>
  <c r="AE18" i="16"/>
  <c r="AG18" i="16"/>
  <c r="AH18" i="16" s="1"/>
  <c r="P19" i="16"/>
  <c r="R19" i="16"/>
  <c r="U19" i="16" s="1"/>
  <c r="W19" i="16"/>
  <c r="Y19" i="16"/>
  <c r="AA19" i="16"/>
  <c r="P20" i="16"/>
  <c r="R20" i="16"/>
  <c r="U20" i="16"/>
  <c r="W20" i="16"/>
  <c r="Y20" i="16"/>
  <c r="AA20" i="16"/>
  <c r="AE20" i="16"/>
  <c r="AG20" i="16"/>
  <c r="AH20" i="16"/>
  <c r="P21" i="16"/>
  <c r="R21" i="16"/>
  <c r="U21" i="16" s="1"/>
  <c r="W21" i="16"/>
  <c r="Y21" i="16"/>
  <c r="AA21" i="16"/>
  <c r="L22" i="16"/>
  <c r="V22" i="16"/>
  <c r="N22" i="16"/>
  <c r="P22" i="16"/>
  <c r="R22" i="16"/>
  <c r="U22" i="16" s="1"/>
  <c r="X22" i="16" s="1"/>
  <c r="Y22" i="16" s="1"/>
  <c r="AE22" i="16"/>
  <c r="AG22" i="16"/>
  <c r="AH22" i="16" s="1"/>
  <c r="N23" i="16"/>
  <c r="P23" i="16"/>
  <c r="R23" i="16"/>
  <c r="W23" i="16"/>
  <c r="Y23" i="16"/>
  <c r="AA23" i="16"/>
  <c r="L24" i="16"/>
  <c r="V24" i="16"/>
  <c r="N24" i="16"/>
  <c r="P24" i="16"/>
  <c r="R24" i="16"/>
  <c r="AE24" i="16"/>
  <c r="AG24" i="16"/>
  <c r="AH24" i="16" s="1"/>
  <c r="AN24" i="16"/>
  <c r="P25" i="16"/>
  <c r="R25" i="16"/>
  <c r="U25" i="16" s="1"/>
  <c r="W25" i="16"/>
  <c r="Y25" i="16"/>
  <c r="AA25" i="16"/>
  <c r="L26" i="16"/>
  <c r="V26" i="16"/>
  <c r="N26" i="16"/>
  <c r="P26" i="16"/>
  <c r="R26" i="16"/>
  <c r="AE26" i="16"/>
  <c r="AG26" i="16"/>
  <c r="AH26" i="16"/>
  <c r="N27" i="16"/>
  <c r="P27" i="16"/>
  <c r="R27" i="16"/>
  <c r="W27" i="16"/>
  <c r="Y27" i="16"/>
  <c r="AA27" i="16"/>
  <c r="L28" i="16"/>
  <c r="V28" i="16"/>
  <c r="N28" i="16"/>
  <c r="P28" i="16"/>
  <c r="R28" i="16"/>
  <c r="AE28" i="16"/>
  <c r="AG28" i="16"/>
  <c r="N29" i="16"/>
  <c r="P29" i="16"/>
  <c r="R29" i="16"/>
  <c r="W29" i="16"/>
  <c r="Y29" i="16"/>
  <c r="AA29" i="16"/>
  <c r="AE29" i="16"/>
  <c r="AG29" i="16"/>
  <c r="L4" i="15"/>
  <c r="V4" i="15"/>
  <c r="N4" i="15"/>
  <c r="P4" i="15"/>
  <c r="R4" i="15"/>
  <c r="U4" i="15"/>
  <c r="X4" i="15"/>
  <c r="Y4" i="15"/>
  <c r="AE4" i="15"/>
  <c r="AG4" i="15"/>
  <c r="AH4" i="15"/>
  <c r="W5" i="15"/>
  <c r="Y5" i="15"/>
  <c r="AA5" i="15"/>
  <c r="AE5" i="15"/>
  <c r="AG5" i="15"/>
  <c r="AH5" i="15"/>
  <c r="W6" i="15"/>
  <c r="Y6" i="15"/>
  <c r="AA6" i="15"/>
  <c r="AE6" i="15"/>
  <c r="AG6" i="15"/>
  <c r="AH6" i="15"/>
  <c r="W7" i="15"/>
  <c r="Y7" i="15"/>
  <c r="AA7" i="15"/>
  <c r="AE7" i="15"/>
  <c r="AG7" i="15"/>
  <c r="AH7" i="15" s="1"/>
  <c r="L8" i="15"/>
  <c r="V8" i="15"/>
  <c r="W8" i="15"/>
  <c r="N8" i="15"/>
  <c r="P8" i="15"/>
  <c r="R8" i="15"/>
  <c r="AE8" i="15"/>
  <c r="AG8" i="15"/>
  <c r="AH8" i="15"/>
  <c r="AN8" i="15"/>
  <c r="W9" i="15"/>
  <c r="Y9" i="15"/>
  <c r="AA9" i="15"/>
  <c r="AE9" i="15"/>
  <c r="AG9" i="15"/>
  <c r="W10" i="15"/>
  <c r="Y10" i="15"/>
  <c r="AA10" i="15"/>
  <c r="AE10" i="15"/>
  <c r="AG10" i="15"/>
  <c r="L11" i="15"/>
  <c r="V11" i="15"/>
  <c r="N11" i="15"/>
  <c r="P11" i="15"/>
  <c r="R11" i="15"/>
  <c r="U11" i="15"/>
  <c r="W11" i="15"/>
  <c r="X11" i="15"/>
  <c r="AE11" i="15"/>
  <c r="AG11" i="15"/>
  <c r="U12" i="15"/>
  <c r="W12" i="15"/>
  <c r="Y12" i="15"/>
  <c r="AA12" i="15"/>
  <c r="AE12" i="15"/>
  <c r="AG12" i="15"/>
  <c r="AH12" i="15"/>
  <c r="U13" i="15"/>
  <c r="W13" i="15"/>
  <c r="Y13" i="15"/>
  <c r="AA13" i="15"/>
  <c r="AE13" i="15"/>
  <c r="AG13" i="15"/>
  <c r="AH13" i="15"/>
  <c r="L14" i="15"/>
  <c r="N14" i="15"/>
  <c r="P14" i="15"/>
  <c r="R14" i="15"/>
  <c r="V14" i="15"/>
  <c r="W14" i="15"/>
  <c r="AE14" i="15"/>
  <c r="AG14" i="15"/>
  <c r="AH14" i="15"/>
  <c r="U15" i="15"/>
  <c r="W15" i="15"/>
  <c r="Y15" i="15"/>
  <c r="AA15" i="15"/>
  <c r="AE15" i="15"/>
  <c r="AG15" i="15"/>
  <c r="AH15" i="15"/>
  <c r="U16" i="15"/>
  <c r="W16" i="15"/>
  <c r="Y16" i="15"/>
  <c r="AA16" i="15"/>
  <c r="AE16" i="15"/>
  <c r="AG16" i="15"/>
  <c r="L17" i="15"/>
  <c r="V17" i="15"/>
  <c r="W17" i="15"/>
  <c r="N17" i="15"/>
  <c r="P17" i="15"/>
  <c r="R17" i="15"/>
  <c r="AE17" i="15"/>
  <c r="AG17" i="15"/>
  <c r="AH17" i="15"/>
  <c r="L18" i="15"/>
  <c r="V18" i="15"/>
  <c r="N18" i="15"/>
  <c r="P18" i="15"/>
  <c r="R18" i="15"/>
  <c r="AE18" i="15"/>
  <c r="AG18" i="15"/>
  <c r="AH18" i="15" s="1"/>
  <c r="L19" i="15"/>
  <c r="N19" i="15"/>
  <c r="P19" i="15"/>
  <c r="R19" i="15"/>
  <c r="V19" i="15"/>
  <c r="AE19" i="15"/>
  <c r="AG19" i="15"/>
  <c r="AH19" i="15"/>
  <c r="L20" i="15"/>
  <c r="N20" i="15"/>
  <c r="P20" i="15"/>
  <c r="R20" i="15"/>
  <c r="U20" i="15"/>
  <c r="X20" i="15"/>
  <c r="Y20" i="15"/>
  <c r="V20" i="15"/>
  <c r="W20" i="15"/>
  <c r="AE20" i="15"/>
  <c r="AG20" i="15"/>
  <c r="AH20" i="15"/>
  <c r="L21" i="15"/>
  <c r="N21" i="15"/>
  <c r="P21" i="15"/>
  <c r="R21" i="15"/>
  <c r="U21" i="15"/>
  <c r="X21" i="15"/>
  <c r="Y21" i="15"/>
  <c r="V21" i="15"/>
  <c r="W21" i="15"/>
  <c r="AE21" i="15"/>
  <c r="AG21" i="15"/>
  <c r="AH21" i="15"/>
  <c r="AN21" i="15"/>
  <c r="L22" i="15"/>
  <c r="N22" i="15"/>
  <c r="P22" i="15"/>
  <c r="R22" i="15"/>
  <c r="U22" i="15" s="1"/>
  <c r="X22" i="15" s="1"/>
  <c r="Y22" i="15" s="1"/>
  <c r="V22" i="15"/>
  <c r="W22" i="15"/>
  <c r="AE22" i="15"/>
  <c r="AG22" i="15"/>
  <c r="AH22" i="15"/>
  <c r="L4" i="14"/>
  <c r="N4" i="14"/>
  <c r="P4" i="14"/>
  <c r="R4" i="14"/>
  <c r="U4" i="14"/>
  <c r="X4" i="14"/>
  <c r="Y4" i="14"/>
  <c r="V4" i="14"/>
  <c r="AE4" i="14"/>
  <c r="AG4" i="14"/>
  <c r="AH4" i="14"/>
  <c r="U5" i="14"/>
  <c r="W5" i="14"/>
  <c r="Y5" i="14"/>
  <c r="AA5" i="14"/>
  <c r="AE5" i="14"/>
  <c r="AG5" i="14"/>
  <c r="AH5" i="14"/>
  <c r="U6" i="14"/>
  <c r="W6" i="14"/>
  <c r="Y6" i="14"/>
  <c r="AA6" i="14"/>
  <c r="AE6" i="14"/>
  <c r="AG6" i="14"/>
  <c r="AH6" i="14"/>
  <c r="L7" i="14"/>
  <c r="V7" i="14"/>
  <c r="N7" i="14"/>
  <c r="P7" i="14"/>
  <c r="R7" i="14"/>
  <c r="AE7" i="14"/>
  <c r="AG7" i="14"/>
  <c r="AH7" i="14"/>
  <c r="AE8" i="14"/>
  <c r="AG8" i="14"/>
  <c r="AH8" i="14"/>
  <c r="AE9" i="14"/>
  <c r="AG9" i="14"/>
  <c r="AH9" i="14"/>
  <c r="AE10" i="14"/>
  <c r="AG10" i="14"/>
  <c r="AH10" i="14"/>
  <c r="AE11" i="14"/>
  <c r="AG11" i="14"/>
  <c r="AH11" i="14" s="1"/>
  <c r="L12" i="14"/>
  <c r="N12" i="14"/>
  <c r="P12" i="14"/>
  <c r="R12" i="14"/>
  <c r="U12" i="14"/>
  <c r="X12" i="14"/>
  <c r="Y12" i="14"/>
  <c r="V12" i="14"/>
  <c r="AE12" i="14"/>
  <c r="AG12" i="14"/>
  <c r="AH12" i="14" s="1"/>
  <c r="U13" i="14"/>
  <c r="W13" i="14"/>
  <c r="Y13" i="14"/>
  <c r="AA13" i="14"/>
  <c r="AE13" i="14"/>
  <c r="AG13" i="14"/>
  <c r="U14" i="14"/>
  <c r="W14" i="14"/>
  <c r="Y14" i="14"/>
  <c r="AA14" i="14"/>
  <c r="AE14" i="14"/>
  <c r="AG14" i="14"/>
  <c r="AH14" i="14"/>
  <c r="L15" i="14"/>
  <c r="V15" i="14"/>
  <c r="N15" i="14"/>
  <c r="P15" i="14"/>
  <c r="R15" i="14"/>
  <c r="AC15" i="14"/>
  <c r="AE15" i="14"/>
  <c r="AG15" i="14"/>
  <c r="AH15" i="14"/>
  <c r="N16" i="14"/>
  <c r="U16" i="14"/>
  <c r="W16" i="14"/>
  <c r="Y16" i="14"/>
  <c r="AA16" i="14"/>
  <c r="AE16" i="14"/>
  <c r="AG16" i="14"/>
  <c r="AH16" i="14"/>
  <c r="L17" i="14"/>
  <c r="N17" i="14"/>
  <c r="P17" i="14"/>
  <c r="R17" i="14"/>
  <c r="U17" i="14"/>
  <c r="X17" i="14"/>
  <c r="Y17" i="14"/>
  <c r="V17" i="14"/>
  <c r="W17" i="14"/>
  <c r="AE17" i="14"/>
  <c r="AG17" i="14"/>
  <c r="AH17" i="14"/>
  <c r="AE18" i="14"/>
  <c r="AG18" i="14"/>
  <c r="AH18" i="14"/>
  <c r="AE19" i="14"/>
  <c r="AG19" i="14"/>
  <c r="AH19" i="14"/>
  <c r="L20" i="14"/>
  <c r="V20" i="14"/>
  <c r="N20" i="14"/>
  <c r="P20" i="14"/>
  <c r="R20" i="14"/>
  <c r="AE20" i="14"/>
  <c r="AG20" i="14"/>
  <c r="AN20" i="14"/>
  <c r="L21" i="14"/>
  <c r="V21" i="14"/>
  <c r="N21" i="14"/>
  <c r="P21" i="14"/>
  <c r="R21" i="14"/>
  <c r="AE21" i="14"/>
  <c r="AG21" i="14"/>
  <c r="AH21" i="14"/>
  <c r="AN21" i="14"/>
  <c r="U22" i="14"/>
  <c r="W22" i="14"/>
  <c r="Y22" i="14"/>
  <c r="AA22" i="14"/>
  <c r="AE22" i="14"/>
  <c r="AG22" i="14"/>
  <c r="AH22" i="14" s="1"/>
  <c r="L23" i="14"/>
  <c r="V23" i="14"/>
  <c r="N23" i="14"/>
  <c r="P23" i="14"/>
  <c r="R23" i="14"/>
  <c r="W23" i="14"/>
  <c r="AE23" i="14"/>
  <c r="AG23" i="14"/>
  <c r="AH23" i="14" s="1"/>
  <c r="AN23" i="14"/>
  <c r="L24" i="14"/>
  <c r="N24" i="14"/>
  <c r="P24" i="14"/>
  <c r="R24" i="14"/>
  <c r="U24" i="14" s="1"/>
  <c r="V24" i="14"/>
  <c r="X24" i="14"/>
  <c r="Y24" i="14"/>
  <c r="AE24" i="14"/>
  <c r="AG24" i="14"/>
  <c r="AH24" i="14"/>
  <c r="L25" i="14"/>
  <c r="N25" i="14"/>
  <c r="P25" i="14"/>
  <c r="R25" i="14"/>
  <c r="U25" i="14"/>
  <c r="X25" i="14"/>
  <c r="Y25" i="14"/>
  <c r="V25" i="14"/>
  <c r="W25" i="14"/>
  <c r="AE25" i="14"/>
  <c r="AG25" i="14"/>
  <c r="AH25" i="14"/>
  <c r="U26" i="14"/>
  <c r="W26" i="14"/>
  <c r="Y26" i="14"/>
  <c r="AA26" i="14"/>
  <c r="AE26" i="14"/>
  <c r="AG26" i="14"/>
  <c r="AH26" i="14"/>
  <c r="L27" i="14"/>
  <c r="N27" i="14"/>
  <c r="P27" i="14"/>
  <c r="R27" i="14"/>
  <c r="U27" i="14" s="1"/>
  <c r="X27" i="14" s="1"/>
  <c r="Y27" i="14" s="1"/>
  <c r="V27" i="14"/>
  <c r="W27" i="14"/>
  <c r="AE27" i="14"/>
  <c r="AG27" i="14"/>
  <c r="AH27" i="14"/>
  <c r="L28" i="14"/>
  <c r="V28" i="14"/>
  <c r="W28" i="14"/>
  <c r="N28" i="14"/>
  <c r="P28" i="14"/>
  <c r="R28" i="14"/>
  <c r="AE28" i="14"/>
  <c r="AG28" i="14"/>
  <c r="U29" i="14"/>
  <c r="W29" i="14"/>
  <c r="Y29" i="14"/>
  <c r="AA29" i="14"/>
  <c r="AE29" i="14"/>
  <c r="AG29" i="14"/>
  <c r="AH29" i="14"/>
  <c r="L30" i="14"/>
  <c r="V30" i="14"/>
  <c r="W30" i="14"/>
  <c r="N30" i="14"/>
  <c r="P30" i="14"/>
  <c r="R30" i="14"/>
  <c r="AE30" i="14"/>
  <c r="AG30" i="14"/>
  <c r="AH30" i="14"/>
  <c r="U31" i="14"/>
  <c r="W31" i="14"/>
  <c r="Y31" i="14"/>
  <c r="AA31" i="14"/>
  <c r="L32" i="14"/>
  <c r="N32" i="14"/>
  <c r="P32" i="14"/>
  <c r="R32" i="14"/>
  <c r="U32" i="14"/>
  <c r="X32" i="14"/>
  <c r="Y32" i="14"/>
  <c r="V32" i="14"/>
  <c r="W32" i="14"/>
  <c r="AE32" i="14"/>
  <c r="AG32" i="14"/>
  <c r="AN32" i="14"/>
  <c r="U33" i="14"/>
  <c r="W33" i="14"/>
  <c r="Y33" i="14"/>
  <c r="AA33" i="14"/>
  <c r="L34" i="14"/>
  <c r="N34" i="14"/>
  <c r="P34" i="14"/>
  <c r="R34" i="14"/>
  <c r="U34" i="14" s="1"/>
  <c r="V34" i="14"/>
  <c r="W34" i="14"/>
  <c r="X34" i="14"/>
  <c r="Y34" i="14"/>
  <c r="AE34" i="14"/>
  <c r="AG34" i="14"/>
  <c r="AH34" i="14"/>
  <c r="L36" i="14"/>
  <c r="N36" i="14"/>
  <c r="P36" i="14"/>
  <c r="R36" i="14"/>
  <c r="U36" i="14"/>
  <c r="X36" i="14"/>
  <c r="Y36" i="14"/>
  <c r="V36" i="14"/>
  <c r="AE36" i="14"/>
  <c r="AG36" i="14"/>
  <c r="AH36" i="14"/>
  <c r="AN36" i="14"/>
  <c r="L37" i="14"/>
  <c r="N37" i="14"/>
  <c r="P37" i="14"/>
  <c r="R37" i="14"/>
  <c r="U37" i="14"/>
  <c r="X37" i="14"/>
  <c r="Y37" i="14"/>
  <c r="V37" i="14"/>
  <c r="AE37" i="14"/>
  <c r="AG37" i="14"/>
  <c r="AH37" i="14"/>
  <c r="L4" i="13"/>
  <c r="N4" i="13"/>
  <c r="P4" i="13"/>
  <c r="R4" i="13"/>
  <c r="U4" i="13" s="1"/>
  <c r="X4" i="13" s="1"/>
  <c r="Y4" i="13" s="1"/>
  <c r="V4" i="13"/>
  <c r="W4" i="13"/>
  <c r="AE4" i="13"/>
  <c r="AG4" i="13"/>
  <c r="AH4" i="13"/>
  <c r="AE5" i="13"/>
  <c r="AG5" i="13"/>
  <c r="AH5" i="13"/>
  <c r="L6" i="13"/>
  <c r="N6" i="13"/>
  <c r="P6" i="13"/>
  <c r="R6" i="13"/>
  <c r="U6" i="13"/>
  <c r="X6" i="13"/>
  <c r="Y6" i="13"/>
  <c r="V6" i="13"/>
  <c r="W6" i="13"/>
  <c r="AE6" i="13"/>
  <c r="AG6" i="13"/>
  <c r="AH6" i="13"/>
  <c r="L7" i="13"/>
  <c r="N7" i="13"/>
  <c r="P7" i="13"/>
  <c r="R7" i="13"/>
  <c r="U7" i="13"/>
  <c r="X7" i="13"/>
  <c r="Y7" i="13"/>
  <c r="V7" i="13"/>
  <c r="AE7" i="13"/>
  <c r="AG7" i="13"/>
  <c r="AN7" i="13"/>
  <c r="L4" i="12"/>
  <c r="V4" i="12"/>
  <c r="N4" i="12"/>
  <c r="P4" i="12"/>
  <c r="R4" i="12"/>
  <c r="U4" i="12"/>
  <c r="X4" i="12"/>
  <c r="Y4" i="12"/>
  <c r="AE4" i="12"/>
  <c r="AG4" i="12"/>
  <c r="AE5" i="12"/>
  <c r="AG5" i="12"/>
  <c r="AH5" i="12"/>
  <c r="AE6" i="12"/>
  <c r="AG6" i="12"/>
  <c r="AH6" i="12"/>
  <c r="AE7" i="12"/>
  <c r="AG7" i="12"/>
  <c r="AH7" i="12"/>
  <c r="L8" i="12"/>
  <c r="M8" i="12"/>
  <c r="N8" i="12"/>
  <c r="O8" i="12"/>
  <c r="P8" i="12"/>
  <c r="R8" i="12"/>
  <c r="V8" i="12"/>
  <c r="W8" i="12"/>
  <c r="AE8" i="12"/>
  <c r="AG8" i="12"/>
  <c r="AH8" i="12"/>
  <c r="L9" i="12"/>
  <c r="V9" i="12"/>
  <c r="W9" i="12"/>
  <c r="N9" i="12"/>
  <c r="P9" i="12"/>
  <c r="R9" i="12"/>
  <c r="U9" i="12"/>
  <c r="X9" i="12"/>
  <c r="Y9" i="12"/>
  <c r="AE9" i="12"/>
  <c r="AG9" i="12"/>
  <c r="AH9" i="12"/>
  <c r="AE10" i="12"/>
  <c r="AG10" i="12"/>
  <c r="L11" i="12"/>
  <c r="N11" i="12"/>
  <c r="P11" i="12"/>
  <c r="R11" i="12"/>
  <c r="U11" i="12"/>
  <c r="X11" i="12"/>
  <c r="V11" i="12"/>
  <c r="Y11" i="12"/>
  <c r="AE11" i="12"/>
  <c r="AG11" i="12"/>
  <c r="AH11" i="12"/>
  <c r="AN11" i="12"/>
  <c r="AE12" i="12"/>
  <c r="AG12" i="12"/>
  <c r="AH12" i="12"/>
  <c r="L13" i="12"/>
  <c r="N13" i="12"/>
  <c r="P13" i="12"/>
  <c r="R13" i="12"/>
  <c r="U13" i="12" s="1"/>
  <c r="V13" i="12"/>
  <c r="W13" i="12"/>
  <c r="X13" i="12"/>
  <c r="Y13" i="12"/>
  <c r="AE13" i="12"/>
  <c r="AG13" i="12"/>
  <c r="AH13" i="12"/>
  <c r="L14" i="12"/>
  <c r="N14" i="12"/>
  <c r="P14" i="12"/>
  <c r="R14" i="12"/>
  <c r="V14" i="12"/>
  <c r="W14" i="12"/>
  <c r="AE14" i="12"/>
  <c r="AG14" i="12"/>
  <c r="AH14" i="12"/>
  <c r="AN14" i="12"/>
  <c r="L15" i="12"/>
  <c r="V15" i="12"/>
  <c r="W15" i="12"/>
  <c r="N15" i="12"/>
  <c r="P15" i="12"/>
  <c r="R15" i="12"/>
  <c r="AE15" i="12"/>
  <c r="AG15" i="12"/>
  <c r="AH15" i="12"/>
  <c r="L4" i="11"/>
  <c r="V4" i="11"/>
  <c r="W4" i="11"/>
  <c r="N4" i="11"/>
  <c r="P4" i="11"/>
  <c r="R4" i="11"/>
  <c r="AE4" i="11"/>
  <c r="AG4" i="11"/>
  <c r="AH4" i="11"/>
  <c r="L7" i="11"/>
  <c r="V7" i="11"/>
  <c r="W7" i="11"/>
  <c r="N7" i="11"/>
  <c r="P7" i="11"/>
  <c r="R7" i="11"/>
  <c r="AE7" i="11"/>
  <c r="AG7" i="11"/>
  <c r="AH7" i="11"/>
  <c r="AE8" i="11"/>
  <c r="AG8" i="11"/>
  <c r="L9" i="11"/>
  <c r="N9" i="11"/>
  <c r="P9" i="11"/>
  <c r="R9" i="11"/>
  <c r="U9" i="11"/>
  <c r="X9" i="11"/>
  <c r="V9" i="11"/>
  <c r="W9" i="11"/>
  <c r="AE9" i="11"/>
  <c r="AG9" i="11"/>
  <c r="L10" i="11"/>
  <c r="V10" i="11"/>
  <c r="N10" i="11"/>
  <c r="P10" i="11"/>
  <c r="R10" i="11"/>
  <c r="AE10" i="11"/>
  <c r="AG10" i="11"/>
  <c r="AH10" i="11"/>
  <c r="AN10" i="11"/>
  <c r="L11" i="11"/>
  <c r="V11" i="11"/>
  <c r="W11" i="11"/>
  <c r="N11" i="11"/>
  <c r="P11" i="11"/>
  <c r="R11" i="11"/>
  <c r="AE11" i="11"/>
  <c r="AG11" i="11"/>
  <c r="AH11" i="11"/>
  <c r="L4" i="10"/>
  <c r="V4" i="10"/>
  <c r="W4" i="10"/>
  <c r="N4" i="10"/>
  <c r="P4" i="10"/>
  <c r="R4" i="10"/>
  <c r="AE4" i="10"/>
  <c r="AG4" i="10"/>
  <c r="AH4" i="10"/>
  <c r="AE5" i="10"/>
  <c r="AG5" i="10"/>
  <c r="AH5" i="10"/>
  <c r="L6" i="10"/>
  <c r="V6" i="10"/>
  <c r="N6" i="10"/>
  <c r="P6" i="10"/>
  <c r="R6" i="10"/>
  <c r="U6" i="10" s="1"/>
  <c r="X6" i="10" s="1"/>
  <c r="Y6" i="10" s="1"/>
  <c r="AE6" i="10"/>
  <c r="AG6" i="10"/>
  <c r="AN6" i="10"/>
  <c r="L7" i="10"/>
  <c r="V7" i="10"/>
  <c r="W7" i="10"/>
  <c r="N7" i="10"/>
  <c r="P7" i="10"/>
  <c r="R7" i="10"/>
  <c r="AE7" i="10"/>
  <c r="AG7" i="10"/>
  <c r="AH7" i="10"/>
  <c r="AN7" i="10"/>
  <c r="AE8" i="10"/>
  <c r="AG8" i="10"/>
  <c r="L9" i="10"/>
  <c r="N9" i="10"/>
  <c r="P9" i="10"/>
  <c r="R9" i="10"/>
  <c r="U9" i="10"/>
  <c r="X9" i="10"/>
  <c r="V9" i="10"/>
  <c r="W9" i="10"/>
  <c r="AE9" i="10"/>
  <c r="AG9" i="10"/>
  <c r="AE10" i="10"/>
  <c r="AG10" i="10"/>
  <c r="AH10" i="10"/>
  <c r="AE11" i="10"/>
  <c r="AG11" i="10"/>
  <c r="AH11" i="10"/>
  <c r="AE12" i="10"/>
  <c r="AG12" i="10"/>
  <c r="L13" i="10"/>
  <c r="N13" i="10"/>
  <c r="P13" i="10"/>
  <c r="R13" i="10"/>
  <c r="U13" i="10"/>
  <c r="X13" i="10"/>
  <c r="Y13" i="10"/>
  <c r="V13" i="10"/>
  <c r="W13" i="10"/>
  <c r="AE13" i="10"/>
  <c r="AG13" i="10"/>
  <c r="L14" i="10"/>
  <c r="V14" i="10"/>
  <c r="W14" i="10"/>
  <c r="N14" i="10"/>
  <c r="P14" i="10"/>
  <c r="R14" i="10"/>
  <c r="AE14" i="10"/>
  <c r="AG14" i="10"/>
  <c r="AH14" i="10"/>
  <c r="L15" i="10"/>
  <c r="V15" i="10"/>
  <c r="W15" i="10"/>
  <c r="N15" i="10"/>
  <c r="P15" i="10"/>
  <c r="R15" i="10"/>
  <c r="AE15" i="10"/>
  <c r="AG15" i="10"/>
  <c r="L16" i="10"/>
  <c r="V16" i="10"/>
  <c r="N16" i="10"/>
  <c r="P16" i="10"/>
  <c r="R16" i="10"/>
  <c r="W16" i="10"/>
  <c r="AE16" i="10"/>
  <c r="AG16" i="10"/>
  <c r="AH16" i="10"/>
  <c r="AN16" i="10"/>
  <c r="L17" i="10"/>
  <c r="V17" i="10"/>
  <c r="N17" i="10"/>
  <c r="P17" i="10"/>
  <c r="R17" i="10"/>
  <c r="AE17" i="10"/>
  <c r="AG17" i="10"/>
  <c r="AH17" i="10"/>
  <c r="L4" i="9"/>
  <c r="N4" i="9"/>
  <c r="P4" i="9"/>
  <c r="R4" i="9"/>
  <c r="U4" i="9"/>
  <c r="V4" i="9"/>
  <c r="W4" i="9"/>
  <c r="X4" i="9"/>
  <c r="Y4" i="9"/>
  <c r="AE4" i="9"/>
  <c r="AG4" i="9"/>
  <c r="AH4" i="9"/>
  <c r="L5" i="9"/>
  <c r="N5" i="9"/>
  <c r="P5" i="9"/>
  <c r="R5" i="9"/>
  <c r="U5" i="9"/>
  <c r="X5" i="9"/>
  <c r="Y5" i="9"/>
  <c r="V5" i="9"/>
  <c r="W5" i="9"/>
  <c r="AE5" i="9"/>
  <c r="AG5" i="9"/>
  <c r="AH5" i="9"/>
  <c r="AN5" i="9"/>
  <c r="AR5" i="9"/>
  <c r="L6" i="9"/>
  <c r="N6" i="9"/>
  <c r="P6" i="9"/>
  <c r="R6" i="9"/>
  <c r="V6" i="9"/>
  <c r="W6" i="9"/>
  <c r="AE6" i="9"/>
  <c r="AG6" i="9"/>
  <c r="AH6" i="9"/>
  <c r="L7" i="9"/>
  <c r="V7" i="9"/>
  <c r="W7" i="9"/>
  <c r="N7" i="9"/>
  <c r="P7" i="9"/>
  <c r="R7" i="9"/>
  <c r="AE7" i="9"/>
  <c r="AG7" i="9"/>
  <c r="AN7" i="9"/>
  <c r="L8" i="9"/>
  <c r="V8" i="9"/>
  <c r="W8" i="9"/>
  <c r="N8" i="9"/>
  <c r="P8" i="9"/>
  <c r="R8" i="9"/>
  <c r="AE8" i="9"/>
  <c r="AG8" i="9"/>
  <c r="AH8" i="9"/>
  <c r="AN8" i="9"/>
  <c r="AE9" i="9"/>
  <c r="AG9" i="9"/>
  <c r="AH9" i="9"/>
  <c r="L10" i="9"/>
  <c r="N10" i="9"/>
  <c r="P10" i="9"/>
  <c r="R10" i="9"/>
  <c r="U10" i="9"/>
  <c r="X10" i="9"/>
  <c r="Y10" i="9"/>
  <c r="V10" i="9"/>
  <c r="W10" i="9"/>
  <c r="AE10" i="9"/>
  <c r="AG10" i="9"/>
  <c r="AH10" i="9"/>
  <c r="AE11" i="9"/>
  <c r="AG11" i="9"/>
  <c r="AH11" i="9"/>
  <c r="L12" i="9"/>
  <c r="N12" i="9"/>
  <c r="P12" i="9"/>
  <c r="R12" i="9"/>
  <c r="U12" i="9"/>
  <c r="X12" i="9"/>
  <c r="Y12" i="9"/>
  <c r="V12" i="9"/>
  <c r="W12" i="9"/>
  <c r="AE12" i="9"/>
  <c r="AG12" i="9"/>
  <c r="AH12" i="9"/>
  <c r="L13" i="9"/>
  <c r="N13" i="9"/>
  <c r="P13" i="9"/>
  <c r="R13" i="9"/>
  <c r="U13" i="9" s="1"/>
  <c r="X13" i="9" s="1"/>
  <c r="Y13" i="9" s="1"/>
  <c r="V13" i="9"/>
  <c r="W13" i="9"/>
  <c r="AE13" i="9"/>
  <c r="AG13" i="9"/>
  <c r="AH13" i="9"/>
  <c r="L14" i="9"/>
  <c r="N14" i="9"/>
  <c r="P14" i="9"/>
  <c r="R14" i="9"/>
  <c r="V14" i="9"/>
  <c r="W14" i="9"/>
  <c r="AE14" i="9"/>
  <c r="AG14" i="9"/>
  <c r="AH14" i="9"/>
  <c r="L15" i="9"/>
  <c r="V15" i="9"/>
  <c r="W15" i="9"/>
  <c r="N15" i="9"/>
  <c r="P15" i="9"/>
  <c r="R15" i="9"/>
  <c r="U15" i="9" s="1"/>
  <c r="X15" i="9" s="1"/>
  <c r="Y15" i="9" s="1"/>
  <c r="AE15" i="9"/>
  <c r="AG15" i="9"/>
  <c r="AN15" i="9"/>
  <c r="L16" i="9"/>
  <c r="V16" i="9"/>
  <c r="W16" i="9"/>
  <c r="N16" i="9"/>
  <c r="P16" i="9"/>
  <c r="R16" i="9"/>
  <c r="AE16" i="9"/>
  <c r="AG16" i="9"/>
  <c r="AG17" i="9"/>
  <c r="L4" i="8"/>
  <c r="V4" i="8" s="1"/>
  <c r="W4" i="8" s="1"/>
  <c r="N4" i="8"/>
  <c r="P4" i="8"/>
  <c r="R4" i="8"/>
  <c r="AE4" i="8"/>
  <c r="AG4" i="8"/>
  <c r="AH4" i="8" s="1"/>
  <c r="AE5" i="8"/>
  <c r="AG5" i="8"/>
  <c r="AE6" i="8"/>
  <c r="AG6" i="8"/>
  <c r="AH6" i="8" s="1"/>
  <c r="L7" i="8"/>
  <c r="V7" i="8" s="1"/>
  <c r="N7" i="8"/>
  <c r="P7" i="8"/>
  <c r="R7" i="8"/>
  <c r="AE7" i="8"/>
  <c r="AG7" i="8"/>
  <c r="L8" i="8"/>
  <c r="V8" i="8" s="1"/>
  <c r="W8" i="8" s="1"/>
  <c r="N8" i="8"/>
  <c r="P8" i="8"/>
  <c r="R8" i="8"/>
  <c r="AE8" i="8"/>
  <c r="AG8" i="8"/>
  <c r="AN8" i="8"/>
  <c r="L9" i="8"/>
  <c r="V9" i="8" s="1"/>
  <c r="W9" i="8" s="1"/>
  <c r="N9" i="8"/>
  <c r="P9" i="8"/>
  <c r="R9" i="8"/>
  <c r="AE9" i="8"/>
  <c r="AG9" i="8"/>
  <c r="AH9" i="8" s="1"/>
  <c r="L4" i="7"/>
  <c r="V4" i="7"/>
  <c r="N4" i="7"/>
  <c r="P4" i="7"/>
  <c r="R4" i="7"/>
  <c r="W4" i="7"/>
  <c r="AE4" i="7"/>
  <c r="AG4" i="7"/>
  <c r="AE5" i="7"/>
  <c r="AG5" i="7"/>
  <c r="AH5" i="7"/>
  <c r="L6" i="7"/>
  <c r="V6" i="7"/>
  <c r="N6" i="7"/>
  <c r="P6" i="7"/>
  <c r="R6" i="7"/>
  <c r="AE6" i="7"/>
  <c r="AG6" i="7"/>
  <c r="AH6" i="7"/>
  <c r="AE7" i="7"/>
  <c r="AG7" i="7"/>
  <c r="AH7" i="7"/>
  <c r="L8" i="7"/>
  <c r="N8" i="7"/>
  <c r="P8" i="7"/>
  <c r="R8" i="7"/>
  <c r="U8" i="7" s="1"/>
  <c r="X8" i="7" s="1"/>
  <c r="Y8" i="7" s="1"/>
  <c r="V8" i="7"/>
  <c r="AE8" i="7"/>
  <c r="AG8" i="7"/>
  <c r="AH8" i="7"/>
  <c r="AE9" i="7"/>
  <c r="AG9" i="7"/>
  <c r="AH9" i="7"/>
  <c r="L10" i="7"/>
  <c r="V10" i="7"/>
  <c r="W10" i="7"/>
  <c r="R10" i="7"/>
  <c r="U10" i="7"/>
  <c r="X10" i="7"/>
  <c r="Y10" i="7"/>
  <c r="AG10" i="7"/>
  <c r="AH10" i="7"/>
  <c r="AG11" i="7"/>
  <c r="AH11" i="7"/>
  <c r="AG12" i="7"/>
  <c r="AH12" i="7"/>
  <c r="L13" i="7"/>
  <c r="V13" i="7"/>
  <c r="N13" i="7"/>
  <c r="P13" i="7"/>
  <c r="R13" i="7"/>
  <c r="U13" i="7" s="1"/>
  <c r="X13" i="7" s="1"/>
  <c r="W13" i="7"/>
  <c r="AG13" i="7"/>
  <c r="AH13" i="7"/>
  <c r="AG14" i="7"/>
  <c r="AH14" i="7"/>
  <c r="L15" i="7"/>
  <c r="V15" i="7"/>
  <c r="N15" i="7"/>
  <c r="P15" i="7"/>
  <c r="R15" i="7"/>
  <c r="AG15" i="7"/>
  <c r="AH15" i="7"/>
  <c r="AG16" i="7"/>
  <c r="AH16" i="7"/>
  <c r="L17" i="7"/>
  <c r="V17" i="7"/>
  <c r="N17" i="7"/>
  <c r="P17" i="7"/>
  <c r="R17" i="7"/>
  <c r="U17" i="7"/>
  <c r="X17" i="7"/>
  <c r="Y17" i="7"/>
  <c r="AG17" i="7"/>
  <c r="AH17" i="7"/>
  <c r="AN17" i="7"/>
  <c r="L18" i="7"/>
  <c r="V18" i="7"/>
  <c r="N18" i="7"/>
  <c r="P18" i="7"/>
  <c r="R18" i="7"/>
  <c r="U18" i="7"/>
  <c r="X18" i="7"/>
  <c r="Y18" i="7"/>
  <c r="AG18" i="7"/>
  <c r="AH18" i="7"/>
  <c r="L19" i="7"/>
  <c r="V19" i="7"/>
  <c r="N19" i="7"/>
  <c r="P19" i="7"/>
  <c r="R19" i="7"/>
  <c r="AG19" i="7"/>
  <c r="AH19" i="7"/>
  <c r="L4" i="6"/>
  <c r="N4" i="6"/>
  <c r="P4" i="6"/>
  <c r="R4" i="6"/>
  <c r="U4" i="6"/>
  <c r="X4" i="6"/>
  <c r="Y4" i="6"/>
  <c r="V4" i="6"/>
  <c r="AF4" i="6"/>
  <c r="AH4" i="6"/>
  <c r="AI4" i="6"/>
  <c r="BA4" i="6"/>
  <c r="BD4" i="6"/>
  <c r="L5" i="6"/>
  <c r="N5" i="6"/>
  <c r="P5" i="6"/>
  <c r="R5" i="6"/>
  <c r="V5" i="6"/>
  <c r="W4" i="6"/>
  <c r="W5" i="6"/>
  <c r="AF5" i="6"/>
  <c r="AH5" i="6"/>
  <c r="AI5" i="6"/>
  <c r="W6" i="6"/>
  <c r="AF6" i="6"/>
  <c r="AH6" i="6"/>
  <c r="AI6" i="6"/>
  <c r="AF7" i="6"/>
  <c r="AH7" i="6"/>
  <c r="AI7" i="6"/>
  <c r="L8" i="6"/>
  <c r="N8" i="6"/>
  <c r="P8" i="6"/>
  <c r="R8" i="6"/>
  <c r="U8" i="6"/>
  <c r="X8" i="6"/>
  <c r="Y8" i="6"/>
  <c r="V8" i="6"/>
  <c r="W7" i="6" s="1"/>
  <c r="W8" i="6"/>
  <c r="AF8" i="6"/>
  <c r="AH8" i="6"/>
  <c r="AI8" i="6"/>
  <c r="AF9" i="6"/>
  <c r="AH9" i="6"/>
  <c r="AI9" i="6"/>
  <c r="L10" i="6"/>
  <c r="N10" i="6"/>
  <c r="P10" i="6"/>
  <c r="R10" i="6"/>
  <c r="V10" i="6"/>
  <c r="AF10" i="6"/>
  <c r="AH10" i="6"/>
  <c r="AI10" i="6"/>
  <c r="AW10" i="6"/>
  <c r="L11" i="6"/>
  <c r="N11" i="6"/>
  <c r="P11" i="6"/>
  <c r="R11" i="6"/>
  <c r="U11" i="6"/>
  <c r="X11" i="6"/>
  <c r="Y11" i="6"/>
  <c r="V11" i="6"/>
  <c r="W10" i="6"/>
  <c r="AW11" i="6"/>
  <c r="L12" i="6"/>
  <c r="N12" i="6"/>
  <c r="P12" i="6"/>
  <c r="R12" i="6"/>
  <c r="U12" i="6"/>
  <c r="X12" i="6"/>
  <c r="Y12" i="6"/>
  <c r="V12" i="6"/>
  <c r="AW12" i="6"/>
  <c r="L14" i="6"/>
  <c r="V14" i="6"/>
  <c r="N14" i="6"/>
  <c r="P14" i="6"/>
  <c r="R14" i="6"/>
  <c r="AW14" i="6"/>
  <c r="L15" i="6"/>
  <c r="N15" i="6"/>
  <c r="P15" i="6"/>
  <c r="R15" i="6"/>
  <c r="V15" i="6"/>
  <c r="AF15" i="6"/>
  <c r="AH15" i="6"/>
  <c r="AI15" i="6"/>
  <c r="AW15" i="6"/>
  <c r="V16" i="6"/>
  <c r="X16" i="6"/>
  <c r="AA16" i="6"/>
  <c r="AF16" i="6"/>
  <c r="AH16" i="6"/>
  <c r="AI16" i="6"/>
  <c r="AW16" i="6"/>
  <c r="V17" i="6"/>
  <c r="X17" i="6"/>
  <c r="AA17" i="6"/>
  <c r="AF17" i="6"/>
  <c r="AH17" i="6"/>
  <c r="AI17" i="6"/>
  <c r="AK17" i="6"/>
  <c r="AR17" i="6"/>
  <c r="AT17" i="6"/>
  <c r="AW17" i="6"/>
  <c r="L18" i="6"/>
  <c r="N18" i="6"/>
  <c r="P18" i="6"/>
  <c r="R18" i="6"/>
  <c r="U18" i="6"/>
  <c r="X18" i="6"/>
  <c r="Y18" i="6"/>
  <c r="V18" i="6"/>
  <c r="AF18" i="6"/>
  <c r="AH18" i="6"/>
  <c r="AI18" i="6"/>
  <c r="AW18" i="6"/>
  <c r="L19" i="6"/>
  <c r="N19" i="6"/>
  <c r="P19" i="6"/>
  <c r="R19" i="6"/>
  <c r="U19" i="6"/>
  <c r="X19" i="6"/>
  <c r="V19" i="6"/>
  <c r="AA19" i="6"/>
  <c r="AF19" i="6"/>
  <c r="AH19" i="6"/>
  <c r="AI19" i="6"/>
  <c r="L20" i="6"/>
  <c r="V20" i="6"/>
  <c r="N20" i="6"/>
  <c r="P20" i="6"/>
  <c r="R20" i="6"/>
  <c r="U20" i="6"/>
  <c r="X20" i="6"/>
  <c r="AA20" i="6"/>
  <c r="AF20" i="6"/>
  <c r="AH20" i="6"/>
  <c r="AI20" i="6"/>
  <c r="L21" i="6"/>
  <c r="V21" i="6"/>
  <c r="N21" i="6"/>
  <c r="P21" i="6"/>
  <c r="R21" i="6"/>
  <c r="AA21" i="6"/>
  <c r="AF21" i="6"/>
  <c r="AH21" i="6"/>
  <c r="AI21" i="6"/>
  <c r="L22" i="6"/>
  <c r="V22" i="6"/>
  <c r="N22" i="6"/>
  <c r="P22" i="6"/>
  <c r="R22" i="6"/>
  <c r="U22" i="6" s="1"/>
  <c r="X22" i="6" s="1"/>
  <c r="AA22" i="6"/>
  <c r="AF22" i="6"/>
  <c r="AH22" i="6"/>
  <c r="AI22" i="6"/>
  <c r="L23" i="6"/>
  <c r="N23" i="6"/>
  <c r="P23" i="6"/>
  <c r="R23" i="6"/>
  <c r="U23" i="6"/>
  <c r="X23" i="6"/>
  <c r="Y23" i="6"/>
  <c r="V23" i="6"/>
  <c r="AF23" i="6"/>
  <c r="AH23" i="6"/>
  <c r="AI23" i="6"/>
  <c r="AW23" i="6"/>
  <c r="L24" i="6"/>
  <c r="N24" i="6"/>
  <c r="P24" i="6"/>
  <c r="R24" i="6"/>
  <c r="U24" i="6"/>
  <c r="X24" i="6"/>
  <c r="V24" i="6"/>
  <c r="AA24" i="6"/>
  <c r="AF24" i="6"/>
  <c r="AH24" i="6"/>
  <c r="AI24" i="6"/>
  <c r="L25" i="6"/>
  <c r="N25" i="6"/>
  <c r="P25" i="6"/>
  <c r="R25" i="6"/>
  <c r="U25" i="6"/>
  <c r="V25" i="6"/>
  <c r="X25" i="6"/>
  <c r="Y25" i="6"/>
  <c r="AF25" i="6"/>
  <c r="AH25" i="6"/>
  <c r="AI25" i="6"/>
  <c r="AW25" i="6"/>
  <c r="L26" i="6"/>
  <c r="N26" i="6"/>
  <c r="P26" i="6"/>
  <c r="R26" i="6"/>
  <c r="U26" i="6"/>
  <c r="V26" i="6"/>
  <c r="X26" i="6"/>
  <c r="AA26" i="6"/>
  <c r="AF26" i="6"/>
  <c r="AH26" i="6"/>
  <c r="AI26" i="6"/>
  <c r="L27" i="6"/>
  <c r="V27" i="6"/>
  <c r="N27" i="6"/>
  <c r="P27" i="6"/>
  <c r="R27" i="6"/>
  <c r="AA27" i="6"/>
  <c r="AF27" i="6"/>
  <c r="AH27" i="6"/>
  <c r="AI27" i="6"/>
  <c r="L28" i="6"/>
  <c r="V28" i="6"/>
  <c r="N28" i="6"/>
  <c r="P28" i="6"/>
  <c r="R28" i="6"/>
  <c r="AF28" i="6"/>
  <c r="AH28" i="6"/>
  <c r="AI28" i="6"/>
  <c r="AW28" i="6"/>
  <c r="V29" i="6"/>
  <c r="X29" i="6"/>
  <c r="AA29" i="6"/>
  <c r="AF29" i="6"/>
  <c r="AH29" i="6"/>
  <c r="AI29" i="6"/>
  <c r="L30" i="6"/>
  <c r="V30" i="6"/>
  <c r="N30" i="6"/>
  <c r="P30" i="6"/>
  <c r="R30" i="6"/>
  <c r="AF30" i="6"/>
  <c r="AH30" i="6"/>
  <c r="AI30" i="6"/>
  <c r="AW30" i="6"/>
  <c r="BA30" i="6"/>
  <c r="BD30" i="6"/>
  <c r="C2" i="5"/>
  <c r="C3" i="5"/>
  <c r="C4" i="5"/>
  <c r="C5" i="5"/>
  <c r="C6" i="5"/>
  <c r="C7" i="5"/>
  <c r="C8" i="5"/>
  <c r="C9" i="5"/>
  <c r="C10" i="5"/>
  <c r="C11" i="5"/>
  <c r="C12" i="5"/>
  <c r="C13" i="5"/>
  <c r="C14" i="5"/>
  <c r="C15" i="5"/>
  <c r="C16" i="5"/>
  <c r="C17" i="5"/>
  <c r="C18" i="5"/>
  <c r="C19" i="5"/>
  <c r="C20" i="5"/>
  <c r="C21" i="5"/>
  <c r="C22" i="5"/>
  <c r="C23" i="5"/>
  <c r="C24" i="5"/>
  <c r="C25" i="5"/>
  <c r="C26" i="5"/>
  <c r="I4" i="4"/>
  <c r="I13" i="4"/>
  <c r="D53" i="4"/>
  <c r="Z26" i="1"/>
  <c r="Z27" i="1"/>
  <c r="Z28" i="1"/>
  <c r="Z29" i="1"/>
  <c r="W14" i="19"/>
  <c r="W15" i="19"/>
  <c r="AH6" i="19"/>
  <c r="U4" i="19"/>
  <c r="X4" i="19"/>
  <c r="W13" i="19"/>
  <c r="W9" i="19"/>
  <c r="W16" i="16"/>
  <c r="W13" i="16"/>
  <c r="W26" i="16"/>
  <c r="W22" i="16"/>
  <c r="Z18" i="16"/>
  <c r="AA18" i="16"/>
  <c r="W18" i="16"/>
  <c r="W11" i="16"/>
  <c r="W28" i="16"/>
  <c r="W24" i="16"/>
  <c r="W9" i="16"/>
  <c r="W15" i="7"/>
  <c r="W17" i="7"/>
  <c r="Z17" i="7"/>
  <c r="AA17" i="7"/>
  <c r="Y4" i="19"/>
  <c r="Z4" i="19"/>
  <c r="AA4" i="19"/>
  <c r="Z18" i="6"/>
  <c r="AA18" i="6"/>
  <c r="Z4" i="6"/>
  <c r="AA4" i="6"/>
  <c r="W6" i="7"/>
  <c r="AL18" i="16"/>
  <c r="AM18" i="16"/>
  <c r="W19" i="7"/>
  <c r="Z23" i="6"/>
  <c r="AA23" i="6"/>
  <c r="W17" i="10"/>
  <c r="Z18" i="7"/>
  <c r="AA18" i="7"/>
  <c r="W18" i="7"/>
  <c r="Y13" i="7"/>
  <c r="Z13" i="7"/>
  <c r="AA13" i="7"/>
  <c r="Z8" i="7"/>
  <c r="AA8" i="7"/>
  <c r="Z10" i="9"/>
  <c r="AA10" i="9"/>
  <c r="Z13" i="10"/>
  <c r="AA13" i="10"/>
  <c r="Y9" i="11"/>
  <c r="Z9" i="11"/>
  <c r="AA9" i="11"/>
  <c r="Z24" i="14"/>
  <c r="AA24" i="14"/>
  <c r="W24" i="14"/>
  <c r="Z4" i="21"/>
  <c r="AA4" i="21"/>
  <c r="AH4" i="7"/>
  <c r="U7" i="8"/>
  <c r="X7" i="8" s="1"/>
  <c r="Y7" i="8" s="1"/>
  <c r="AH15" i="9"/>
  <c r="Z12" i="9"/>
  <c r="AA12" i="9"/>
  <c r="AH15" i="10"/>
  <c r="U15" i="10"/>
  <c r="X15" i="10"/>
  <c r="Y15" i="10"/>
  <c r="W6" i="10"/>
  <c r="Z6" i="10"/>
  <c r="AA6" i="10"/>
  <c r="AH10" i="12"/>
  <c r="AL10" i="12"/>
  <c r="W16" i="18"/>
  <c r="Z10" i="7"/>
  <c r="AA10" i="7"/>
  <c r="W18" i="18"/>
  <c r="W9" i="6"/>
  <c r="Z8" i="6"/>
  <c r="AA8" i="6"/>
  <c r="U14" i="10"/>
  <c r="X14" i="10"/>
  <c r="AH6" i="10"/>
  <c r="U11" i="11"/>
  <c r="X11" i="11"/>
  <c r="U10" i="11"/>
  <c r="X10" i="11"/>
  <c r="Y10" i="11"/>
  <c r="W20" i="14"/>
  <c r="Z11" i="15"/>
  <c r="AA11" i="15"/>
  <c r="Y11" i="15"/>
  <c r="Z7" i="16"/>
  <c r="AA7" i="16"/>
  <c r="Z11" i="6"/>
  <c r="AA11" i="6"/>
  <c r="Z15" i="9"/>
  <c r="AA15" i="9"/>
  <c r="Z13" i="9"/>
  <c r="AA13" i="9"/>
  <c r="U8" i="9"/>
  <c r="X8" i="9"/>
  <c r="Z4" i="9"/>
  <c r="AA4" i="9"/>
  <c r="W10" i="11"/>
  <c r="Z10" i="11"/>
  <c r="AA10" i="11"/>
  <c r="W11" i="12"/>
  <c r="Z11" i="12"/>
  <c r="AA11" i="12"/>
  <c r="W21" i="14"/>
  <c r="Z22" i="16"/>
  <c r="AA22" i="16"/>
  <c r="Z5" i="9"/>
  <c r="AA5" i="9"/>
  <c r="U16" i="10"/>
  <c r="X16" i="10"/>
  <c r="AH13" i="10"/>
  <c r="AH9" i="11"/>
  <c r="AH8" i="11"/>
  <c r="U7" i="11"/>
  <c r="X7" i="11"/>
  <c r="Z36" i="14"/>
  <c r="AA36" i="14"/>
  <c r="W36" i="14"/>
  <c r="AH16" i="9"/>
  <c r="U16" i="9"/>
  <c r="X16" i="9"/>
  <c r="Y16" i="9"/>
  <c r="AH7" i="13"/>
  <c r="W15" i="14"/>
  <c r="AH13" i="14"/>
  <c r="W12" i="14"/>
  <c r="Z12" i="14"/>
  <c r="AA12" i="14"/>
  <c r="U4" i="7"/>
  <c r="X4" i="7"/>
  <c r="Y4" i="7"/>
  <c r="Y9" i="10"/>
  <c r="Z9" i="10"/>
  <c r="AA9" i="10"/>
  <c r="W8" i="7"/>
  <c r="AH7" i="9"/>
  <c r="AH12" i="10"/>
  <c r="AH9" i="10"/>
  <c r="AH8" i="10"/>
  <c r="W19" i="15"/>
  <c r="Z13" i="12"/>
  <c r="AA13" i="12"/>
  <c r="AH20" i="14"/>
  <c r="Z17" i="14"/>
  <c r="AA17" i="14"/>
  <c r="U7" i="14"/>
  <c r="X7" i="14"/>
  <c r="Y7" i="14"/>
  <c r="U17" i="18"/>
  <c r="W7" i="13"/>
  <c r="Z7" i="13"/>
  <c r="AA7" i="13"/>
  <c r="W7" i="14"/>
  <c r="Z7" i="14"/>
  <c r="AA7" i="14"/>
  <c r="W18" i="15"/>
  <c r="W4" i="15"/>
  <c r="Z4" i="15"/>
  <c r="AA4" i="15"/>
  <c r="Z9" i="12"/>
  <c r="AA9" i="12"/>
  <c r="W37" i="14"/>
  <c r="Z37" i="14"/>
  <c r="AA37" i="14"/>
  <c r="AH28" i="14"/>
  <c r="W4" i="14"/>
  <c r="Z4" i="14"/>
  <c r="AA4" i="14"/>
  <c r="AH4" i="12"/>
  <c r="W4" i="12"/>
  <c r="Z4" i="12"/>
  <c r="AA4" i="12"/>
  <c r="Z34" i="14"/>
  <c r="AA34" i="14"/>
  <c r="Z14" i="18"/>
  <c r="AA14" i="18"/>
  <c r="W14" i="18"/>
  <c r="W14" i="20"/>
  <c r="Z6" i="13"/>
  <c r="AA6" i="13"/>
  <c r="Z25" i="14"/>
  <c r="AA25" i="14"/>
  <c r="Z12" i="18"/>
  <c r="AA12" i="18"/>
  <c r="W10" i="18"/>
  <c r="U8" i="12"/>
  <c r="X8" i="12"/>
  <c r="AH32" i="14"/>
  <c r="Z10" i="17"/>
  <c r="AA10" i="17"/>
  <c r="W10" i="17"/>
  <c r="W4" i="20"/>
  <c r="U18" i="15"/>
  <c r="X18" i="15"/>
  <c r="Y18" i="15"/>
  <c r="AH16" i="15"/>
  <c r="AH9" i="15"/>
  <c r="U8" i="17"/>
  <c r="X8" i="17"/>
  <c r="Z4" i="13"/>
  <c r="AA4" i="13"/>
  <c r="Z32" i="14"/>
  <c r="AA32" i="14"/>
  <c r="Z27" i="14"/>
  <c r="AA27" i="14"/>
  <c r="Z20" i="15"/>
  <c r="AA20" i="15"/>
  <c r="U19" i="15"/>
  <c r="X19" i="15"/>
  <c r="Z19" i="15" s="1"/>
  <c r="AA19" i="15" s="1"/>
  <c r="Y19" i="15"/>
  <c r="AH10" i="15"/>
  <c r="AH28" i="16"/>
  <c r="U4" i="17"/>
  <c r="X4" i="17"/>
  <c r="Z12" i="20"/>
  <c r="AA12" i="20"/>
  <c r="Z22" i="15"/>
  <c r="AA22" i="15"/>
  <c r="U10" i="20"/>
  <c r="W5" i="21"/>
  <c r="U26" i="16"/>
  <c r="X26" i="16"/>
  <c r="Z9" i="16"/>
  <c r="AA9" i="16"/>
  <c r="AH7" i="16"/>
  <c r="U6" i="17"/>
  <c r="X6" i="17"/>
  <c r="Y6" i="17"/>
  <c r="U13" i="18"/>
  <c r="U9" i="18"/>
  <c r="U13" i="19"/>
  <c r="X13" i="19"/>
  <c r="Z9" i="20"/>
  <c r="AA9" i="20"/>
  <c r="W9" i="20"/>
  <c r="Z12" i="21"/>
  <c r="AA12" i="21"/>
  <c r="Z21" i="15"/>
  <c r="AA21" i="15"/>
  <c r="AH11" i="15"/>
  <c r="U28" i="16"/>
  <c r="X28" i="16"/>
  <c r="Y28" i="16"/>
  <c r="W6" i="18"/>
  <c r="Z6" i="18"/>
  <c r="AA6" i="18"/>
  <c r="U11" i="19"/>
  <c r="X11" i="19"/>
  <c r="Z15" i="20"/>
  <c r="AA15" i="20"/>
  <c r="U17" i="16"/>
  <c r="AH5" i="16"/>
  <c r="AH8" i="20"/>
  <c r="Z6" i="21"/>
  <c r="AA6" i="21"/>
  <c r="Z5" i="22"/>
  <c r="AA5" i="22"/>
  <c r="AH29" i="16"/>
  <c r="AH13" i="19"/>
  <c r="U6" i="20"/>
  <c r="U6" i="22"/>
  <c r="X6" i="22"/>
  <c r="Y6" i="22"/>
  <c r="AH4" i="17"/>
  <c r="U11" i="21"/>
  <c r="X11" i="21"/>
  <c r="U15" i="19"/>
  <c r="X15" i="19"/>
  <c r="AH9" i="21"/>
  <c r="W5" i="22"/>
  <c r="W4" i="22"/>
  <c r="Z4" i="22"/>
  <c r="AA4" i="22"/>
  <c r="AL20" i="16"/>
  <c r="AM20" i="16"/>
  <c r="AN18" i="16"/>
  <c r="Y11" i="21"/>
  <c r="Z11" i="21"/>
  <c r="AA11" i="21"/>
  <c r="Y26" i="16"/>
  <c r="Z26" i="16"/>
  <c r="AA26" i="16"/>
  <c r="AL19" i="15"/>
  <c r="AM19" i="15"/>
  <c r="AN19" i="15"/>
  <c r="AL11" i="15"/>
  <c r="AM11" i="15"/>
  <c r="AL24" i="14"/>
  <c r="AM24" i="14"/>
  <c r="AN24" i="14"/>
  <c r="AL6" i="18"/>
  <c r="AM6" i="18"/>
  <c r="Y13" i="19"/>
  <c r="Z13" i="19"/>
  <c r="AA13" i="19"/>
  <c r="AL4" i="13"/>
  <c r="AM4" i="13"/>
  <c r="AL25" i="14"/>
  <c r="AM25" i="14"/>
  <c r="AL4" i="12"/>
  <c r="AM4" i="12"/>
  <c r="AL7" i="13"/>
  <c r="AM7" i="13"/>
  <c r="AL5" i="9"/>
  <c r="AM5" i="9"/>
  <c r="AL13" i="9"/>
  <c r="AM13" i="9"/>
  <c r="AN13" i="9"/>
  <c r="AL9" i="11"/>
  <c r="AM9" i="11"/>
  <c r="AN9" i="11"/>
  <c r="AL10" i="11"/>
  <c r="AM10" i="11"/>
  <c r="AU4" i="6"/>
  <c r="AV4" i="6"/>
  <c r="AW4" i="6"/>
  <c r="AL9" i="20"/>
  <c r="AM9" i="20"/>
  <c r="Z16" i="10"/>
  <c r="AA16" i="10"/>
  <c r="Y16" i="10"/>
  <c r="AL10" i="17"/>
  <c r="AM10" i="17"/>
  <c r="AN10" i="17"/>
  <c r="AL4" i="22"/>
  <c r="AM4" i="22"/>
  <c r="AN4" i="22"/>
  <c r="Z6" i="17"/>
  <c r="AA6" i="17"/>
  <c r="Y8" i="17"/>
  <c r="Z8" i="17"/>
  <c r="AA8" i="17"/>
  <c r="AL6" i="13"/>
  <c r="AM6" i="13"/>
  <c r="AN6" i="13"/>
  <c r="AL4" i="15"/>
  <c r="AM4" i="15" s="1"/>
  <c r="Y7" i="11"/>
  <c r="Z7" i="11"/>
  <c r="AA7" i="11"/>
  <c r="AU11" i="6"/>
  <c r="AV11" i="6"/>
  <c r="AL10" i="7"/>
  <c r="AM10" i="7"/>
  <c r="AL13" i="10"/>
  <c r="AM13" i="10"/>
  <c r="AN13" i="10"/>
  <c r="AL32" i="14"/>
  <c r="AM32" i="14"/>
  <c r="AL37" i="14"/>
  <c r="AM37" i="14"/>
  <c r="AN37" i="14"/>
  <c r="Z8" i="9"/>
  <c r="AA8" i="9"/>
  <c r="Y8" i="9"/>
  <c r="AL13" i="7"/>
  <c r="AM13" i="7" s="1"/>
  <c r="AL9" i="12"/>
  <c r="AM9" i="12"/>
  <c r="AM10" i="12"/>
  <c r="AN9" i="12"/>
  <c r="AL22" i="16"/>
  <c r="AM22" i="16"/>
  <c r="AN22" i="16"/>
  <c r="AL7" i="16"/>
  <c r="AM7" i="16"/>
  <c r="Y11" i="11"/>
  <c r="Z11" i="11"/>
  <c r="AA11" i="11"/>
  <c r="AL12" i="9"/>
  <c r="AM12" i="9" s="1"/>
  <c r="AN12" i="9" s="1"/>
  <c r="AL10" i="9"/>
  <c r="AM10" i="9"/>
  <c r="AL18" i="7"/>
  <c r="AM18" i="7" s="1"/>
  <c r="AN18" i="7" s="1"/>
  <c r="Z28" i="16"/>
  <c r="AA28" i="16"/>
  <c r="AL12" i="18"/>
  <c r="AM12" i="18"/>
  <c r="AL6" i="10"/>
  <c r="AM6" i="10"/>
  <c r="AL15" i="9"/>
  <c r="AM15" i="9"/>
  <c r="AL21" i="15"/>
  <c r="AM21" i="15"/>
  <c r="AL4" i="14"/>
  <c r="AM4" i="14"/>
  <c r="Z18" i="15"/>
  <c r="AA18" i="15"/>
  <c r="AL17" i="14"/>
  <c r="AM17" i="14"/>
  <c r="AL4" i="21"/>
  <c r="AM4" i="21"/>
  <c r="AN4" i="21"/>
  <c r="AL8" i="7"/>
  <c r="AM8" i="7"/>
  <c r="Z4" i="7"/>
  <c r="AA4" i="7"/>
  <c r="AU18" i="6"/>
  <c r="AV18" i="6"/>
  <c r="AU22" i="6"/>
  <c r="AV22" i="6"/>
  <c r="AW22" i="6"/>
  <c r="AU21" i="6"/>
  <c r="AV21" i="6"/>
  <c r="AW21" i="6"/>
  <c r="AU20" i="6"/>
  <c r="AV20" i="6"/>
  <c r="AW20" i="6"/>
  <c r="AU19" i="6"/>
  <c r="AV19" i="6" s="1"/>
  <c r="AW19" i="6" s="1"/>
  <c r="Y4" i="17"/>
  <c r="Z4" i="17"/>
  <c r="AA4" i="17"/>
  <c r="AL36" i="14"/>
  <c r="AM36" i="14" s="1"/>
  <c r="AL9" i="10"/>
  <c r="AM9" i="10"/>
  <c r="AL11" i="12"/>
  <c r="AM11" i="12"/>
  <c r="Z6" i="22"/>
  <c r="AA6" i="22"/>
  <c r="Y8" i="12"/>
  <c r="Z8" i="12"/>
  <c r="AA8" i="12"/>
  <c r="AL5" i="22"/>
  <c r="AM5" i="22"/>
  <c r="AL12" i="21"/>
  <c r="AM12" i="21"/>
  <c r="AN12" i="21"/>
  <c r="AL22" i="15"/>
  <c r="AM22" i="15"/>
  <c r="AN22" i="15"/>
  <c r="AL20" i="15"/>
  <c r="AM20" i="15"/>
  <c r="AN20" i="15"/>
  <c r="Z15" i="10"/>
  <c r="AA15" i="10"/>
  <c r="Z14" i="10"/>
  <c r="AA14" i="10"/>
  <c r="Y14" i="10"/>
  <c r="Z16" i="9"/>
  <c r="AA16" i="9"/>
  <c r="AL4" i="19"/>
  <c r="AM4" i="19" s="1"/>
  <c r="Y11" i="19"/>
  <c r="Z11" i="19"/>
  <c r="AA11" i="19"/>
  <c r="AL34" i="14"/>
  <c r="AM34" i="14"/>
  <c r="AN34" i="14"/>
  <c r="AL17" i="7"/>
  <c r="AM17" i="7" s="1"/>
  <c r="Y15" i="19"/>
  <c r="Z15" i="19"/>
  <c r="AA15" i="19"/>
  <c r="AL6" i="21"/>
  <c r="AM6" i="21"/>
  <c r="AN6" i="21"/>
  <c r="AL15" i="20"/>
  <c r="AM15" i="20" s="1"/>
  <c r="AN15" i="20" s="1"/>
  <c r="AL9" i="16"/>
  <c r="AM9" i="16"/>
  <c r="AL12" i="20"/>
  <c r="AM12" i="20"/>
  <c r="AL27" i="14"/>
  <c r="AM27" i="14"/>
  <c r="AN27" i="14"/>
  <c r="AL14" i="18"/>
  <c r="AM14" i="18" s="1"/>
  <c r="AL7" i="14"/>
  <c r="AM7" i="14"/>
  <c r="AL13" i="12"/>
  <c r="AM13" i="12"/>
  <c r="AN13" i="12"/>
  <c r="AL12" i="14"/>
  <c r="AM12" i="14"/>
  <c r="AL4" i="9"/>
  <c r="AM4" i="9"/>
  <c r="AN4" i="9"/>
  <c r="AU23" i="6"/>
  <c r="AV23" i="6"/>
  <c r="AU24" i="6"/>
  <c r="AV24" i="6"/>
  <c r="AW24" i="6"/>
  <c r="AL18" i="14"/>
  <c r="AM18" i="14"/>
  <c r="AL12" i="15"/>
  <c r="AM12" i="15"/>
  <c r="AL9" i="7"/>
  <c r="AM9" i="7"/>
  <c r="AN8" i="7"/>
  <c r="AL10" i="20"/>
  <c r="AM10" i="20"/>
  <c r="AN9" i="20"/>
  <c r="AL5" i="14"/>
  <c r="AM5" i="14"/>
  <c r="AL12" i="12"/>
  <c r="AM12" i="12"/>
  <c r="AL13" i="14"/>
  <c r="AM13" i="14"/>
  <c r="AL26" i="14"/>
  <c r="AM26" i="14"/>
  <c r="AN25" i="14"/>
  <c r="AL13" i="20"/>
  <c r="AM13" i="20"/>
  <c r="AN12" i="20"/>
  <c r="AL18" i="15"/>
  <c r="AM18" i="15"/>
  <c r="AN18" i="15"/>
  <c r="AL11" i="19"/>
  <c r="AM11" i="19"/>
  <c r="AL15" i="10"/>
  <c r="AM15" i="10"/>
  <c r="AN15" i="10"/>
  <c r="AL4" i="7"/>
  <c r="AM4" i="7"/>
  <c r="AL28" i="16"/>
  <c r="AM28" i="16"/>
  <c r="AL7" i="11"/>
  <c r="AM7" i="11"/>
  <c r="AL8" i="17"/>
  <c r="AM8" i="17"/>
  <c r="AN8" i="17"/>
  <c r="AL13" i="19"/>
  <c r="AM13" i="19"/>
  <c r="AN13" i="19"/>
  <c r="AL14" i="7"/>
  <c r="AM14" i="7"/>
  <c r="AN13" i="7"/>
  <c r="AL26" i="16"/>
  <c r="AM26" i="16"/>
  <c r="AN26" i="16"/>
  <c r="AL4" i="17"/>
  <c r="AM4" i="17"/>
  <c r="AL5" i="19"/>
  <c r="AM5" i="19"/>
  <c r="AL8" i="9"/>
  <c r="AM8" i="9"/>
  <c r="AL5" i="15"/>
  <c r="AM5" i="15"/>
  <c r="AL5" i="13"/>
  <c r="AM5" i="13"/>
  <c r="AN4" i="13"/>
  <c r="AL11" i="21"/>
  <c r="AM11" i="21"/>
  <c r="AL16" i="9"/>
  <c r="AM16" i="9"/>
  <c r="AN16" i="9"/>
  <c r="AL8" i="14"/>
  <c r="AM8" i="14"/>
  <c r="AL11" i="11"/>
  <c r="AM11" i="11"/>
  <c r="AN11" i="11"/>
  <c r="AL11" i="7"/>
  <c r="AM11" i="7"/>
  <c r="AL6" i="17"/>
  <c r="AM6" i="17"/>
  <c r="AL16" i="10"/>
  <c r="AM16" i="10"/>
  <c r="AL8" i="12"/>
  <c r="AM8" i="12"/>
  <c r="AN8" i="12"/>
  <c r="AL5" i="12"/>
  <c r="AM5" i="12"/>
  <c r="AL6" i="22"/>
  <c r="AM6" i="22"/>
  <c r="AN6" i="22"/>
  <c r="AL10" i="10"/>
  <c r="AM10" i="10"/>
  <c r="AL13" i="18"/>
  <c r="AM13" i="18"/>
  <c r="AN12" i="18"/>
  <c r="AL11" i="9"/>
  <c r="AM11" i="9"/>
  <c r="AN10" i="9"/>
  <c r="AL14" i="10"/>
  <c r="AM14" i="10"/>
  <c r="AN14" i="10"/>
  <c r="AL15" i="18"/>
  <c r="AM15" i="18"/>
  <c r="AN14" i="18"/>
  <c r="AL10" i="16"/>
  <c r="AM10" i="16"/>
  <c r="AL7" i="18"/>
  <c r="AM7" i="18"/>
  <c r="AN6" i="18"/>
  <c r="AL15" i="19"/>
  <c r="AM15" i="19"/>
  <c r="AN15" i="19"/>
  <c r="AL11" i="10"/>
  <c r="AM11" i="10"/>
  <c r="AL5" i="7"/>
  <c r="AM5" i="7"/>
  <c r="AN4" i="7"/>
  <c r="AL6" i="12"/>
  <c r="AM6" i="12"/>
  <c r="AL19" i="14"/>
  <c r="AM19" i="14"/>
  <c r="AN17" i="14"/>
  <c r="AL12" i="7"/>
  <c r="AM12" i="7"/>
  <c r="AN10" i="7"/>
  <c r="AL14" i="14"/>
  <c r="AM14" i="14"/>
  <c r="AN12" i="14"/>
  <c r="AL6" i="14"/>
  <c r="AM6" i="14"/>
  <c r="AN4" i="14"/>
  <c r="AL13" i="15"/>
  <c r="AM13" i="15"/>
  <c r="AN11" i="15"/>
  <c r="AL5" i="17"/>
  <c r="AM5" i="17"/>
  <c r="AN4" i="17"/>
  <c r="AL6" i="19"/>
  <c r="AM6" i="19"/>
  <c r="AN4" i="19"/>
  <c r="AL6" i="15"/>
  <c r="AM6" i="15"/>
  <c r="AL29" i="16"/>
  <c r="AM29" i="16"/>
  <c r="AN28" i="16"/>
  <c r="AL9" i="9"/>
  <c r="AM9" i="9"/>
  <c r="AL9" i="14"/>
  <c r="AM9" i="14"/>
  <c r="AL7" i="17"/>
  <c r="AM7" i="17"/>
  <c r="AN6" i="17"/>
  <c r="AL8" i="11"/>
  <c r="AM8" i="11"/>
  <c r="AN7" i="11"/>
  <c r="AL12" i="19"/>
  <c r="AM12" i="19"/>
  <c r="AL10" i="14"/>
  <c r="AM10" i="14"/>
  <c r="AL7" i="12"/>
  <c r="AM7" i="12"/>
  <c r="AN4" i="12"/>
  <c r="AL12" i="10"/>
  <c r="AM12" i="10"/>
  <c r="AN9" i="10"/>
  <c r="AL7" i="15"/>
  <c r="AM7" i="15"/>
  <c r="AN4" i="15"/>
  <c r="AL11" i="14"/>
  <c r="AM11" i="14"/>
  <c r="AN7" i="14"/>
  <c r="U4" i="8" l="1"/>
  <c r="X4" i="8" s="1"/>
  <c r="Y4" i="8" s="1"/>
  <c r="AH7" i="8"/>
  <c r="AH8" i="8"/>
  <c r="AH5" i="8"/>
  <c r="U8" i="8"/>
  <c r="X8" i="8" s="1"/>
  <c r="Y8" i="8" s="1"/>
  <c r="Z7" i="8"/>
  <c r="AA7" i="8" s="1"/>
  <c r="W7" i="8"/>
  <c r="Z9" i="19"/>
  <c r="AA9" i="19" s="1"/>
  <c r="Z12" i="6"/>
  <c r="AA12" i="6" s="1"/>
  <c r="U30" i="6"/>
  <c r="X30" i="6" s="1"/>
  <c r="U28" i="6"/>
  <c r="X28" i="6" s="1"/>
  <c r="U27" i="6"/>
  <c r="X27" i="6" s="1"/>
  <c r="Z25" i="6"/>
  <c r="AA25" i="6" s="1"/>
  <c r="U21" i="6"/>
  <c r="X21" i="6" s="1"/>
  <c r="U15" i="6"/>
  <c r="X15" i="6" s="1"/>
  <c r="Z15" i="6" s="1"/>
  <c r="AA15" i="6" s="1"/>
  <c r="U14" i="6"/>
  <c r="X14" i="6" s="1"/>
  <c r="Z14" i="6" s="1"/>
  <c r="AA14" i="6" s="1"/>
  <c r="U10" i="6"/>
  <c r="X10" i="6" s="1"/>
  <c r="U5" i="6"/>
  <c r="X5" i="6" s="1"/>
  <c r="U19" i="7"/>
  <c r="X19" i="7" s="1"/>
  <c r="U15" i="7"/>
  <c r="X15" i="7" s="1"/>
  <c r="U6" i="7"/>
  <c r="X6" i="7" s="1"/>
  <c r="U9" i="8"/>
  <c r="X9" i="8" s="1"/>
  <c r="U14" i="9"/>
  <c r="X14" i="9" s="1"/>
  <c r="U7" i="9"/>
  <c r="X7" i="9" s="1"/>
  <c r="U6" i="9"/>
  <c r="X6" i="9" s="1"/>
  <c r="U17" i="10"/>
  <c r="X17" i="10" s="1"/>
  <c r="U7" i="10"/>
  <c r="X7" i="10" s="1"/>
  <c r="U4" i="10"/>
  <c r="X4" i="10" s="1"/>
  <c r="U4" i="11"/>
  <c r="X4" i="11" s="1"/>
  <c r="U15" i="12"/>
  <c r="X15" i="12" s="1"/>
  <c r="U14" i="12"/>
  <c r="X14" i="12" s="1"/>
  <c r="U30" i="14"/>
  <c r="X30" i="14" s="1"/>
  <c r="U28" i="14"/>
  <c r="X28" i="14" s="1"/>
  <c r="U23" i="14"/>
  <c r="X23" i="14" s="1"/>
  <c r="U21" i="14"/>
  <c r="X21" i="14" s="1"/>
  <c r="U20" i="14"/>
  <c r="X20" i="14" s="1"/>
  <c r="U15" i="14"/>
  <c r="X15" i="14" s="1"/>
  <c r="U17" i="15"/>
  <c r="X17" i="15" s="1"/>
  <c r="U14" i="15"/>
  <c r="X14" i="15" s="1"/>
  <c r="U8" i="15"/>
  <c r="X8" i="15" s="1"/>
  <c r="U29" i="16"/>
  <c r="U27" i="16"/>
  <c r="U24" i="16"/>
  <c r="X24" i="16" s="1"/>
  <c r="U23" i="16"/>
  <c r="U16" i="16"/>
  <c r="X16" i="16" s="1"/>
  <c r="U15" i="16"/>
  <c r="U14" i="16"/>
  <c r="U13" i="16"/>
  <c r="X13" i="16" s="1"/>
  <c r="U12" i="16"/>
  <c r="U11" i="16"/>
  <c r="X11" i="16" s="1"/>
  <c r="U10" i="16"/>
  <c r="U4" i="16"/>
  <c r="X4" i="16" s="1"/>
  <c r="U9" i="17"/>
  <c r="X9" i="17" s="1"/>
  <c r="U19" i="18"/>
  <c r="X19" i="18" s="1"/>
  <c r="U18" i="18"/>
  <c r="X18" i="18" s="1"/>
  <c r="U16" i="18"/>
  <c r="X16" i="18" s="1"/>
  <c r="U11" i="18"/>
  <c r="X11" i="18" s="1"/>
  <c r="U10" i="18"/>
  <c r="X10" i="18" s="1"/>
  <c r="U8" i="18"/>
  <c r="X8" i="18" s="1"/>
  <c r="U5" i="18"/>
  <c r="U4" i="18"/>
  <c r="X4" i="18" s="1"/>
  <c r="U14" i="19"/>
  <c r="X14" i="19" s="1"/>
  <c r="U10" i="19"/>
  <c r="U8" i="19"/>
  <c r="U7" i="19"/>
  <c r="X7" i="19" s="1"/>
  <c r="U14" i="20"/>
  <c r="X14" i="20" s="1"/>
  <c r="U11" i="20"/>
  <c r="X11" i="20" s="1"/>
  <c r="U7" i="20"/>
  <c r="X7" i="20" s="1"/>
  <c r="U4" i="20"/>
  <c r="X4" i="20" s="1"/>
  <c r="U8" i="21"/>
  <c r="X8" i="21" s="1"/>
  <c r="U7" i="21"/>
  <c r="X7" i="21" s="1"/>
  <c r="U5" i="21"/>
  <c r="X5" i="21" s="1"/>
  <c r="U5" i="19"/>
  <c r="Z4" i="8" l="1"/>
  <c r="AA4" i="8" s="1"/>
  <c r="AL4" i="8" s="1"/>
  <c r="AM4" i="8" s="1"/>
  <c r="Z8" i="8"/>
  <c r="AA8" i="8" s="1"/>
  <c r="AL8" i="8" s="1"/>
  <c r="AM8" i="8" s="1"/>
  <c r="AL7" i="8"/>
  <c r="AM7" i="8" s="1"/>
  <c r="AN7" i="8" s="1"/>
  <c r="Y5" i="21"/>
  <c r="Z5" i="21"/>
  <c r="AA5" i="21" s="1"/>
  <c r="Y7" i="21"/>
  <c r="Z7" i="21"/>
  <c r="AA7" i="21" s="1"/>
  <c r="Y8" i="21"/>
  <c r="Z8" i="21"/>
  <c r="AA8" i="21" s="1"/>
  <c r="Y4" i="20"/>
  <c r="Z4" i="20"/>
  <c r="AA4" i="20" s="1"/>
  <c r="Y7" i="20"/>
  <c r="Z7" i="20"/>
  <c r="AA7" i="20" s="1"/>
  <c r="Y11" i="20"/>
  <c r="Z11" i="20"/>
  <c r="AA11" i="20" s="1"/>
  <c r="Y14" i="20"/>
  <c r="Z14" i="20"/>
  <c r="AA14" i="20" s="1"/>
  <c r="Y7" i="19"/>
  <c r="Z7" i="19"/>
  <c r="AA7" i="19" s="1"/>
  <c r="Y14" i="19"/>
  <c r="Z14" i="19"/>
  <c r="AA14" i="19" s="1"/>
  <c r="Y4" i="18"/>
  <c r="Z4" i="18"/>
  <c r="AA4" i="18" s="1"/>
  <c r="Y8" i="18"/>
  <c r="Z8" i="18"/>
  <c r="AA8" i="18" s="1"/>
  <c r="Y10" i="18"/>
  <c r="Z10" i="18"/>
  <c r="AA10" i="18" s="1"/>
  <c r="Y11" i="18"/>
  <c r="Z11" i="18"/>
  <c r="AA11" i="18" s="1"/>
  <c r="Y16" i="18"/>
  <c r="Z16" i="18"/>
  <c r="AA16" i="18" s="1"/>
  <c r="Y18" i="18"/>
  <c r="Z18" i="18"/>
  <c r="AA18" i="18" s="1"/>
  <c r="Y19" i="18"/>
  <c r="Z19" i="18"/>
  <c r="AA19" i="18" s="1"/>
  <c r="Y9" i="17"/>
  <c r="Z9" i="17"/>
  <c r="AA9" i="17" s="1"/>
  <c r="Y4" i="16"/>
  <c r="Z4" i="16"/>
  <c r="AA4" i="16" s="1"/>
  <c r="Y11" i="16"/>
  <c r="Z11" i="16"/>
  <c r="AA11" i="16" s="1"/>
  <c r="Y13" i="16"/>
  <c r="Z13" i="16"/>
  <c r="AA13" i="16" s="1"/>
  <c r="Y16" i="16"/>
  <c r="Z16" i="16"/>
  <c r="AA16" i="16" s="1"/>
  <c r="Y24" i="16"/>
  <c r="Z24" i="16"/>
  <c r="AA24" i="16" s="1"/>
  <c r="Y8" i="15"/>
  <c r="Z8" i="15"/>
  <c r="AA8" i="15" s="1"/>
  <c r="Y14" i="15"/>
  <c r="Z14" i="15"/>
  <c r="AA14" i="15" s="1"/>
  <c r="Y17" i="15"/>
  <c r="Z17" i="15"/>
  <c r="AA17" i="15" s="1"/>
  <c r="Y15" i="14"/>
  <c r="Z15" i="14"/>
  <c r="AA15" i="14" s="1"/>
  <c r="Y20" i="14"/>
  <c r="Z20" i="14"/>
  <c r="AA20" i="14" s="1"/>
  <c r="Y21" i="14"/>
  <c r="Z21" i="14"/>
  <c r="AA21" i="14" s="1"/>
  <c r="Y23" i="14"/>
  <c r="Z23" i="14"/>
  <c r="AA23" i="14" s="1"/>
  <c r="Y28" i="14"/>
  <c r="Z28" i="14"/>
  <c r="AA28" i="14" s="1"/>
  <c r="Y30" i="14"/>
  <c r="Z30" i="14"/>
  <c r="AA30" i="14" s="1"/>
  <c r="Y14" i="12"/>
  <c r="Z14" i="12"/>
  <c r="AA14" i="12" s="1"/>
  <c r="Y15" i="12"/>
  <c r="Z15" i="12"/>
  <c r="AA15" i="12" s="1"/>
  <c r="Y4" i="11"/>
  <c r="Z4" i="11"/>
  <c r="AA4" i="11" s="1"/>
  <c r="Y4" i="10"/>
  <c r="Z4" i="10"/>
  <c r="AA4" i="10" s="1"/>
  <c r="Y7" i="10"/>
  <c r="Z7" i="10"/>
  <c r="AA7" i="10" s="1"/>
  <c r="Y17" i="10"/>
  <c r="Z17" i="10"/>
  <c r="AA17" i="10" s="1"/>
  <c r="Y6" i="9"/>
  <c r="Z6" i="9"/>
  <c r="AA6" i="9" s="1"/>
  <c r="Y7" i="9"/>
  <c r="Z7" i="9"/>
  <c r="AA7" i="9" s="1"/>
  <c r="Y14" i="9"/>
  <c r="Z14" i="9"/>
  <c r="AA14" i="9" s="1"/>
  <c r="Y9" i="8"/>
  <c r="Z9" i="8"/>
  <c r="AA9" i="8" s="1"/>
  <c r="Y6" i="7"/>
  <c r="Z6" i="7"/>
  <c r="AA6" i="7" s="1"/>
  <c r="Y15" i="7"/>
  <c r="Z15" i="7"/>
  <c r="AA15" i="7" s="1"/>
  <c r="Y19" i="7"/>
  <c r="Z19" i="7"/>
  <c r="AA19" i="7" s="1"/>
  <c r="Z5" i="6"/>
  <c r="AA5" i="6" s="1"/>
  <c r="Y5" i="6"/>
  <c r="Y15" i="6"/>
  <c r="Y10" i="6"/>
  <c r="Y14" i="6"/>
  <c r="Z10" i="6"/>
  <c r="AA10" i="6" s="1"/>
  <c r="AU14" i="6"/>
  <c r="AV14" i="6"/>
  <c r="AU15" i="6"/>
  <c r="AV15" i="6" s="1"/>
  <c r="AV27" i="6"/>
  <c r="AW27" i="6" s="1"/>
  <c r="AU26" i="6"/>
  <c r="AV26" i="6"/>
  <c r="AW26" i="6" s="1"/>
  <c r="AU25" i="6"/>
  <c r="AV25" i="6" s="1"/>
  <c r="Z28" i="6"/>
  <c r="AA28" i="6" s="1"/>
  <c r="Y28" i="6"/>
  <c r="Y30" i="6"/>
  <c r="Z30" i="6"/>
  <c r="AA30" i="6" s="1"/>
  <c r="AU12" i="6"/>
  <c r="AV12" i="6"/>
  <c r="AL9" i="19"/>
  <c r="AM9" i="19"/>
  <c r="AL5" i="8" l="1"/>
  <c r="AM5" i="8" s="1"/>
  <c r="AL10" i="19"/>
  <c r="AM10" i="19"/>
  <c r="AN9" i="19" s="1"/>
  <c r="AU30" i="6"/>
  <c r="AV30" i="6"/>
  <c r="AU28" i="6"/>
  <c r="AV28" i="6"/>
  <c r="AU29" i="6"/>
  <c r="AV29" i="6"/>
  <c r="AU10" i="6"/>
  <c r="AV10" i="6"/>
  <c r="AU8" i="6"/>
  <c r="AV8" i="6"/>
  <c r="AU5" i="6"/>
  <c r="AV5" i="6"/>
  <c r="AL19" i="7"/>
  <c r="AM19" i="7"/>
  <c r="AN19" i="7" s="1"/>
  <c r="AL15" i="7"/>
  <c r="AM15" i="7"/>
  <c r="AL6" i="7"/>
  <c r="AM6" i="7" s="1"/>
  <c r="AL9" i="8"/>
  <c r="AM9" i="8"/>
  <c r="AN9" i="8" s="1"/>
  <c r="AL14" i="9"/>
  <c r="AM14" i="9"/>
  <c r="AN14" i="9" s="1"/>
  <c r="AL7" i="9"/>
  <c r="AM7" i="9"/>
  <c r="AL6" i="9"/>
  <c r="AM6" i="9"/>
  <c r="AN6" i="9" s="1"/>
  <c r="AL17" i="10"/>
  <c r="AM17" i="10"/>
  <c r="AN17" i="10" s="1"/>
  <c r="AL7" i="10"/>
  <c r="AM7" i="10"/>
  <c r="AL4" i="10"/>
  <c r="AM4" i="10"/>
  <c r="AL4" i="11"/>
  <c r="AM4" i="11"/>
  <c r="AN4" i="11" s="1"/>
  <c r="AL15" i="12"/>
  <c r="AM15" i="12"/>
  <c r="AN15" i="12" s="1"/>
  <c r="AL14" i="12"/>
  <c r="AM14" i="12"/>
  <c r="AL30" i="14"/>
  <c r="AM30" i="14"/>
  <c r="AN30" i="14" s="1"/>
  <c r="AL28" i="14"/>
  <c r="AM28" i="14"/>
  <c r="AL23" i="14"/>
  <c r="AM23" i="14" s="1"/>
  <c r="AL21" i="14"/>
  <c r="AM21" i="14"/>
  <c r="AL20" i="14"/>
  <c r="AM20" i="14"/>
  <c r="AL15" i="14"/>
  <c r="AM15" i="14"/>
  <c r="AL17" i="15"/>
  <c r="AM17" i="15"/>
  <c r="AN17" i="15" s="1"/>
  <c r="AL14" i="15"/>
  <c r="AM14" i="15"/>
  <c r="AL8" i="15"/>
  <c r="AM8" i="15"/>
  <c r="AL24" i="16"/>
  <c r="AM24" i="16"/>
  <c r="AL16" i="16"/>
  <c r="AM16" i="16"/>
  <c r="AN16" i="16" s="1"/>
  <c r="AL13" i="16"/>
  <c r="AM13" i="16"/>
  <c r="AL11" i="16"/>
  <c r="AM11" i="16"/>
  <c r="AL4" i="16"/>
  <c r="AM4" i="16"/>
  <c r="AL9" i="17"/>
  <c r="AM9" i="17"/>
  <c r="AL19" i="18"/>
  <c r="AM19" i="18"/>
  <c r="AN19" i="18" s="1"/>
  <c r="AL18" i="18"/>
  <c r="AM18" i="18"/>
  <c r="AL16" i="18"/>
  <c r="AM16" i="18"/>
  <c r="AL11" i="18"/>
  <c r="AM11" i="18" s="1"/>
  <c r="AN11" i="18" s="1"/>
  <c r="AL10" i="18"/>
  <c r="AM10" i="18"/>
  <c r="AN10" i="18" s="1"/>
  <c r="AL8" i="18"/>
  <c r="AM8" i="18"/>
  <c r="AL4" i="18"/>
  <c r="AM4" i="18" s="1"/>
  <c r="AL14" i="19"/>
  <c r="AM14" i="19"/>
  <c r="AL7" i="19"/>
  <c r="AM7" i="19"/>
  <c r="AL14" i="20"/>
  <c r="AM14" i="20"/>
  <c r="AL11" i="20"/>
  <c r="AM11" i="20"/>
  <c r="AN11" i="20" s="1"/>
  <c r="AL7" i="20"/>
  <c r="AM7" i="20" s="1"/>
  <c r="AL4" i="20"/>
  <c r="AM4" i="20"/>
  <c r="AL8" i="21"/>
  <c r="AM8" i="21" s="1"/>
  <c r="AL7" i="21"/>
  <c r="AM7" i="21"/>
  <c r="AN7" i="21" s="1"/>
  <c r="AL5" i="21"/>
  <c r="AM5" i="21"/>
  <c r="AL6" i="8" l="1"/>
  <c r="AM6" i="8" s="1"/>
  <c r="AN4" i="8" s="1"/>
  <c r="AL9" i="21"/>
  <c r="AM9" i="21"/>
  <c r="AL5" i="20"/>
  <c r="AM5" i="20"/>
  <c r="AL8" i="20"/>
  <c r="AM8" i="20"/>
  <c r="AN7" i="20" s="1"/>
  <c r="AL8" i="19"/>
  <c r="AM8" i="19"/>
  <c r="AN7" i="19" s="1"/>
  <c r="AL5" i="18"/>
  <c r="AM5" i="18"/>
  <c r="AN4" i="18" s="1"/>
  <c r="AL9" i="18"/>
  <c r="AM9" i="18"/>
  <c r="AN8" i="18" s="1"/>
  <c r="AL17" i="18"/>
  <c r="AM17" i="18"/>
  <c r="AN16" i="18" s="1"/>
  <c r="AL5" i="16"/>
  <c r="AM5" i="16"/>
  <c r="AL12" i="16"/>
  <c r="AM12" i="16"/>
  <c r="AN11" i="16" s="1"/>
  <c r="AL14" i="16"/>
  <c r="AM14" i="16"/>
  <c r="AL9" i="15"/>
  <c r="AM9" i="15"/>
  <c r="AL15" i="15"/>
  <c r="AM15" i="15"/>
  <c r="AL16" i="14"/>
  <c r="AM16" i="14"/>
  <c r="AN15" i="14" s="1"/>
  <c r="AL22" i="14"/>
  <c r="AM22" i="14"/>
  <c r="AL29" i="14"/>
  <c r="AM29" i="14"/>
  <c r="AN28" i="14" s="1"/>
  <c r="AL5" i="10"/>
  <c r="AM5" i="10"/>
  <c r="AN4" i="10" s="1"/>
  <c r="AL8" i="10"/>
  <c r="AM8" i="10"/>
  <c r="AL7" i="7"/>
  <c r="AM7" i="7"/>
  <c r="AN6" i="7" s="1"/>
  <c r="AL16" i="7"/>
  <c r="AM16" i="7"/>
  <c r="AN15" i="7" s="1"/>
  <c r="AU6" i="6"/>
  <c r="AV6" i="6"/>
  <c r="AU9" i="6"/>
  <c r="AV9" i="6"/>
  <c r="AW8" i="6" s="1"/>
  <c r="AU7" i="6" l="1"/>
  <c r="AV7" i="6"/>
  <c r="AW5" i="6" s="1"/>
  <c r="AL16" i="15"/>
  <c r="AM16" i="15"/>
  <c r="AN14" i="15" s="1"/>
  <c r="AL10" i="15"/>
  <c r="AM10" i="15"/>
  <c r="AL15" i="16"/>
  <c r="AM15" i="16"/>
  <c r="AL6" i="16"/>
  <c r="AM6" i="16"/>
  <c r="AL6" i="20"/>
  <c r="AM6" i="20"/>
  <c r="AN4" i="20" s="1"/>
  <c r="AL10" i="21"/>
  <c r="AM10" i="21"/>
  <c r="AN8" i="21" s="1"/>
</calcChain>
</file>

<file path=xl/comments1.xml><?xml version="1.0" encoding="utf-8"?>
<comments xmlns="http://schemas.openxmlformats.org/spreadsheetml/2006/main">
  <authors>
    <author>User</author>
  </authors>
  <commentList>
    <comment ref="BF3" authorId="0" shapeId="0">
      <text>
        <r>
          <rPr>
            <b/>
            <sz val="9"/>
            <color indexed="81"/>
            <rFont val="Tahoma"/>
            <family val="2"/>
          </rPr>
          <t>Responder 
SI o NO</t>
        </r>
      </text>
    </comment>
  </commentList>
</comments>
</file>

<file path=xl/comments2.xml><?xml version="1.0" encoding="utf-8"?>
<comments xmlns="http://schemas.openxmlformats.org/spreadsheetml/2006/main">
  <authors>
    <author>User</author>
  </authors>
  <commentList>
    <comment ref="AW3" authorId="0" shapeId="0">
      <text>
        <r>
          <rPr>
            <b/>
            <sz val="9"/>
            <color indexed="81"/>
            <rFont val="Tahoma"/>
            <family val="2"/>
          </rPr>
          <t>Responder 
SI o NO</t>
        </r>
      </text>
    </comment>
  </commentList>
</comments>
</file>

<file path=xl/sharedStrings.xml><?xml version="1.0" encoding="utf-8"?>
<sst xmlns="http://schemas.openxmlformats.org/spreadsheetml/2006/main" count="5541" uniqueCount="1279">
  <si>
    <t>Área de impacto</t>
  </si>
  <si>
    <t>Factor de riesgo</t>
  </si>
  <si>
    <t>Clasificación del riesgo</t>
  </si>
  <si>
    <t>Probabilidad</t>
  </si>
  <si>
    <t>Nivel de impacto</t>
  </si>
  <si>
    <t>Tipo de control</t>
  </si>
  <si>
    <t>Tipo de riesgo</t>
  </si>
  <si>
    <t>Documentación</t>
  </si>
  <si>
    <t>Frecuencia</t>
  </si>
  <si>
    <t>Tratamiento</t>
  </si>
  <si>
    <t>Activo de información</t>
  </si>
  <si>
    <t>Criterio afectado</t>
  </si>
  <si>
    <t>Procesos</t>
  </si>
  <si>
    <t>Afectación económica</t>
  </si>
  <si>
    <t>Afectación reputacional</t>
  </si>
  <si>
    <t>Interrupción de la operación</t>
  </si>
  <si>
    <t>Periodicidad</t>
  </si>
  <si>
    <t>Materialización del riesgo</t>
  </si>
  <si>
    <t>Evento externo</t>
  </si>
  <si>
    <t>Daños a activos fijos / eventos externos</t>
  </si>
  <si>
    <t>Muy baja</t>
  </si>
  <si>
    <t>Leve</t>
  </si>
  <si>
    <t>Correctivo</t>
  </si>
  <si>
    <t>Ambiental</t>
  </si>
  <si>
    <t>Documentado</t>
  </si>
  <si>
    <t>Continua</t>
  </si>
  <si>
    <t>Aceptar</t>
  </si>
  <si>
    <t>Hardware</t>
  </si>
  <si>
    <t>Confidencialidad</t>
  </si>
  <si>
    <t>Atención y Servicio al Cliente</t>
  </si>
  <si>
    <t>Menor al 1% del patrimonio de la Lotería de Bogotá</t>
  </si>
  <si>
    <t>El riesgo afecta la imagen de algún área de la organización</t>
  </si>
  <si>
    <t>Interrupción de la operación por menos de un día</t>
  </si>
  <si>
    <t>Diaria</t>
  </si>
  <si>
    <t>SÍ</t>
  </si>
  <si>
    <t>Financiero</t>
  </si>
  <si>
    <t>Ejecución y administración de procesos</t>
  </si>
  <si>
    <t>Baja</t>
  </si>
  <si>
    <t>Menor</t>
  </si>
  <si>
    <t>Detectivo</t>
  </si>
  <si>
    <t>Contractual</t>
  </si>
  <si>
    <t>Sin documentar</t>
  </si>
  <si>
    <t>Aleatoria</t>
  </si>
  <si>
    <t>Evitar</t>
  </si>
  <si>
    <t>Software</t>
  </si>
  <si>
    <t>Disponibilidad</t>
  </si>
  <si>
    <t>Control Disciplinario Interno</t>
  </si>
  <si>
    <t>Entre el 1% y el 3% del patrimonio de la Lotería de Bogotá</t>
  </si>
  <si>
    <t>El riesgo afecta la imagen de la entidad internamente, de conocimiento general nivel interno, de junta directiva y accionistas y/o de proveedores</t>
  </si>
  <si>
    <t>Interrupción de la operación por un día completo</t>
  </si>
  <si>
    <t>Semanal</t>
  </si>
  <si>
    <t>NO</t>
  </si>
  <si>
    <t>Afectación económica y reputacional</t>
  </si>
  <si>
    <t>Infraestructura</t>
  </si>
  <si>
    <t>Fallas tecnológicas</t>
  </si>
  <si>
    <t>Media</t>
  </si>
  <si>
    <t>Moderado</t>
  </si>
  <si>
    <t>Preventivo</t>
  </si>
  <si>
    <t>Corrupción</t>
  </si>
  <si>
    <t>Mitigar</t>
  </si>
  <si>
    <t>Servicios</t>
  </si>
  <si>
    <t>Integridad</t>
  </si>
  <si>
    <t>Control, Inspección y Fiscalización</t>
  </si>
  <si>
    <t>Entre el 3% y el 6% del patrimonio de la Lotería de Bogotá</t>
  </si>
  <si>
    <t>El riesgo afecta la imagen de la entidad con algunos usuarios de relevancia frente al logro de los objetivos</t>
  </si>
  <si>
    <t>Interrupción de la operación mayor a 1 día y menor a 2 días</t>
  </si>
  <si>
    <t>Mensual</t>
  </si>
  <si>
    <t>Fraude externo</t>
  </si>
  <si>
    <t>Alta</t>
  </si>
  <si>
    <t>Mayor</t>
  </si>
  <si>
    <t>Estratégico</t>
  </si>
  <si>
    <t>Reducir</t>
  </si>
  <si>
    <t>Documental</t>
  </si>
  <si>
    <t>NA</t>
  </si>
  <si>
    <t>Evaluación Independiente y Control a la Gestión</t>
  </si>
  <si>
    <t>Entre el 6% y el 10% del patrimonio de la Lotería de Bogotá</t>
  </si>
  <si>
    <t>El riesgo afecta la imagen de la entidad con efecto publicitario sostenido a nivel de sector administrativo, nivel departamental o municipal</t>
  </si>
  <si>
    <t>Interrupción de la operación por dos días completos</t>
  </si>
  <si>
    <t>Bimestral</t>
  </si>
  <si>
    <t>Talento humano</t>
  </si>
  <si>
    <t>Fraude interno</t>
  </si>
  <si>
    <t>Muy alta</t>
  </si>
  <si>
    <t>Catastrófico</t>
  </si>
  <si>
    <t>Transferir</t>
  </si>
  <si>
    <t>Confidencialidad e integridad</t>
  </si>
  <si>
    <t>Explotación de JSA</t>
  </si>
  <si>
    <t>Mayor al 10% del patrimonio de la Lotería de Bogotá</t>
  </si>
  <si>
    <t>El riesgo afecta la imagen de la entidad a nivel nacional, con efecto publicitario sostenido a nivel país</t>
  </si>
  <si>
    <t>Interrupción de la operación por más de dos días</t>
  </si>
  <si>
    <t>Trimestral</t>
  </si>
  <si>
    <t>Tecnología</t>
  </si>
  <si>
    <t>Relaciones laborales</t>
  </si>
  <si>
    <t>Gestión</t>
  </si>
  <si>
    <t>Hardware y software</t>
  </si>
  <si>
    <t>Gestión de Bienes y Servicios</t>
  </si>
  <si>
    <t>Semestral</t>
  </si>
  <si>
    <t>Usuarios, productos y prácticas</t>
  </si>
  <si>
    <t>Hardware, software y servicios</t>
  </si>
  <si>
    <t>Gestión de Comunicaciones</t>
  </si>
  <si>
    <t>Anual</t>
  </si>
  <si>
    <t>Fraude interno y externo</t>
  </si>
  <si>
    <t>Seguridad de la información</t>
  </si>
  <si>
    <t>Gestión del Talento Humano</t>
  </si>
  <si>
    <t>Seguridad y Salud en el Trabajo</t>
  </si>
  <si>
    <t>Gestión Documental</t>
  </si>
  <si>
    <t>Tecnológico</t>
  </si>
  <si>
    <t>Gestión Financiera y Contable</t>
  </si>
  <si>
    <t>Soborno</t>
  </si>
  <si>
    <t>Gestión Jurídica</t>
  </si>
  <si>
    <t>Protección de datos personales</t>
  </si>
  <si>
    <t>Gestión Tecnologías e Información</t>
  </si>
  <si>
    <t>Planeación y Direccionamiento Estratégico</t>
  </si>
  <si>
    <t>Recaudo</t>
  </si>
  <si>
    <t>Control de cambios</t>
  </si>
  <si>
    <t>FECHA</t>
  </si>
  <si>
    <t>DESCRIPCIÓN Y JUSTIFICACIÓN DEL CAMBIO</t>
  </si>
  <si>
    <t>VERSIÓN</t>
  </si>
  <si>
    <t>Se aprueba la matriz de riesgos 2025 en su primera versión.</t>
  </si>
  <si>
    <t>Se aprueba la matriz de riesgos 2025 en su segunda versión.</t>
  </si>
  <si>
    <t>Se aprueba la matriz de riesgos 2025 en su tercera versión.</t>
  </si>
  <si>
    <t>Control de revisión y aprobación</t>
  </si>
  <si>
    <t>Consolidación</t>
  </si>
  <si>
    <t>Revisión</t>
  </si>
  <si>
    <t>Aprobación</t>
  </si>
  <si>
    <r>
      <rPr>
        <b/>
        <sz val="11"/>
        <rFont val="Calibri"/>
        <family val="2"/>
      </rPr>
      <t xml:space="preserve">MICHAEL MEDINA ULLOA
</t>
    </r>
    <r>
      <rPr>
        <sz val="11"/>
        <rFont val="Calibri"/>
        <family val="2"/>
      </rPr>
      <t>Contratista Oficina de Asesora de Planeación</t>
    </r>
  </si>
  <si>
    <r>
      <rPr>
        <b/>
        <sz val="11"/>
        <rFont val="Calibri"/>
        <family val="2"/>
      </rPr>
      <t xml:space="preserve">JESUS EDUARDO MENDEZ GARZÓN
</t>
    </r>
    <r>
      <rPr>
        <sz val="11"/>
        <rFont val="Calibri"/>
        <family val="2"/>
      </rPr>
      <t xml:space="preserve">
Jefe Oficina Asesora de Planeación</t>
    </r>
  </si>
  <si>
    <t>COMITÉ INSTITUCIONAL DE COORDINACIÓN DE CONTROL INTERNO</t>
  </si>
  <si>
    <r>
      <rPr>
        <b/>
        <sz val="11"/>
        <color indexed="8"/>
        <rFont val="Calibri"/>
        <family val="2"/>
      </rPr>
      <t>Nota:</t>
    </r>
    <r>
      <rPr>
        <sz val="11"/>
        <color theme="1"/>
        <rFont val="Calibri"/>
        <family val="2"/>
        <scheme val="minor"/>
      </rPr>
      <t xml:space="preserve"> La siguiente información fue tomada de la Guía para la administración del riesgo y el diseño de controles en entidades públicas del Departamento Administrativo de la Función Pública (2022) en su versión 6:</t>
    </r>
  </si>
  <si>
    <t>1) Identificación del riesgo:</t>
  </si>
  <si>
    <t>2) Valoración del riesgo:</t>
  </si>
  <si>
    <t>2.1. Análisis de riesgos:</t>
  </si>
  <si>
    <t>2.2. Evaluación de riesgos:</t>
  </si>
  <si>
    <t>1.1. Factores de riesgo:</t>
  </si>
  <si>
    <t>1.2. Clasificación del riesgo:</t>
  </si>
  <si>
    <t>2.1.1. Determinar la probabilidad:</t>
  </si>
  <si>
    <t>2.1.2. Definir el nivel de impacto:</t>
  </si>
  <si>
    <t>2.2.1. Valoración de riesgo inherente:</t>
  </si>
  <si>
    <t>2.2.1. Valoración de controles:</t>
  </si>
  <si>
    <t>2.2.2. Tratamiento del riesgo:</t>
  </si>
  <si>
    <r>
      <rPr>
        <b/>
        <sz val="11"/>
        <color indexed="8"/>
        <rFont val="Calibri"/>
        <family val="2"/>
      </rPr>
      <t xml:space="preserve">Nota: </t>
    </r>
    <r>
      <rPr>
        <sz val="11"/>
        <color theme="1"/>
        <rFont val="Calibri"/>
        <family val="2"/>
        <scheme val="minor"/>
      </rPr>
      <t>Se presenta patrimonio con corte a 30-04-2024 como guía:</t>
    </r>
  </si>
  <si>
    <t>a 30 de abril de 2024</t>
  </si>
  <si>
    <t>Patrimonio Lotería de Bogotá</t>
  </si>
  <si>
    <t>TIPO DE RIESGOS POR PROCESO</t>
  </si>
  <si>
    <t>RESUMEN TIPO DE RIESGOS LOTERÍA DE BOGOTÁ</t>
  </si>
  <si>
    <t>Proceso</t>
  </si>
  <si>
    <t>Cantidad</t>
  </si>
  <si>
    <t>Responsable</t>
  </si>
  <si>
    <t>Cantidad 2025</t>
  </si>
  <si>
    <t>Jefe Oficina Asesora de Planeación</t>
  </si>
  <si>
    <t>Subgerente Comercial y de Operaciones - Profesional I Comunicaciones y Mercadeo</t>
  </si>
  <si>
    <t>Presupuestal</t>
  </si>
  <si>
    <t>Protección de Datos Personales</t>
  </si>
  <si>
    <t>Fiscal</t>
  </si>
  <si>
    <t>Explotación JSA Apuestas Permanentes</t>
  </si>
  <si>
    <t>Jefe Unidad de Apuestas y Control de Juegos</t>
  </si>
  <si>
    <t>Seguridad de la Información</t>
  </si>
  <si>
    <t>Explotación JSA Loterías</t>
  </si>
  <si>
    <t>Directora de Operación de Productos y Comercialización</t>
  </si>
  <si>
    <t>TOTAL</t>
  </si>
  <si>
    <t>Gestión de Recaudo</t>
  </si>
  <si>
    <t>Jefe Unidad Financiera y Contable - Profesional I de Cartera</t>
  </si>
  <si>
    <t>Profesional III Atención al Cliente</t>
  </si>
  <si>
    <t>Gestión de Talento Humano</t>
  </si>
  <si>
    <t>Jefe Unidad de Talento Humano.</t>
  </si>
  <si>
    <t>Jefe Unidad Financiera y Contable</t>
  </si>
  <si>
    <t>Secretaria General - Jefe Unidad de Recursos Físicos</t>
  </si>
  <si>
    <t>Jefe Unidad de Recursos Físicos - Profesional de Gestión Documental</t>
  </si>
  <si>
    <t>Gestión de las Tecnologías y la Información</t>
  </si>
  <si>
    <t>Jefe Oficina de Gestión Tecnológica e Innovación - Profesional de Seguridad de la Información</t>
  </si>
  <si>
    <t>Jefe Oficina Jurídica</t>
  </si>
  <si>
    <t>Jefe Oficina de Control Interno</t>
  </si>
  <si>
    <t>Jefe Oficina de Control Disciplinario Interno</t>
  </si>
  <si>
    <t>Oficial de Protección de datos</t>
  </si>
  <si>
    <t>Transversales</t>
  </si>
  <si>
    <t>Todos los Jefes de área</t>
  </si>
  <si>
    <t>Riesgo inherente</t>
  </si>
  <si>
    <t>%</t>
  </si>
  <si>
    <t>Bajo</t>
  </si>
  <si>
    <t>Alto</t>
  </si>
  <si>
    <t>Extremo</t>
  </si>
  <si>
    <t>IDENTIFICACIÓN DEL RIESGO</t>
  </si>
  <si>
    <t>VALORACIÓN RIESGO INHERENTE</t>
  </si>
  <si>
    <t>VALORACIÓN DE CONTROLES</t>
  </si>
  <si>
    <t>RIESGO RESIDUAL</t>
  </si>
  <si>
    <t>SEGUIMIENTO Y MONITOREO</t>
  </si>
  <si>
    <t>Control</t>
  </si>
  <si>
    <t>Descripción del control</t>
  </si>
  <si>
    <t>Atributos de eficiencia</t>
  </si>
  <si>
    <t>Valoración control</t>
  </si>
  <si>
    <t>Atributos informativos</t>
  </si>
  <si>
    <t>Riesgo residual</t>
  </si>
  <si>
    <t>Plan de Acción</t>
  </si>
  <si>
    <t>Fecha Inicio</t>
  </si>
  <si>
    <t>Fecha Fin</t>
  </si>
  <si>
    <t>Entregable</t>
  </si>
  <si>
    <t>TRIMESTRE I</t>
  </si>
  <si>
    <t>TRIMESTRE II</t>
  </si>
  <si>
    <t>TRIMESTRE III</t>
  </si>
  <si>
    <t>TRIMESTRE IV</t>
  </si>
  <si>
    <t>Objetivo Estratégico</t>
  </si>
  <si>
    <t>Causas</t>
  </si>
  <si>
    <t>Descripción del riesgo</t>
  </si>
  <si>
    <t>Consecuencias</t>
  </si>
  <si>
    <t>Nivel de ocurrencia (Por año)</t>
  </si>
  <si>
    <t>Porcentaje de probabilidad</t>
  </si>
  <si>
    <t>Activo de información afectado</t>
  </si>
  <si>
    <t>% Impacto</t>
  </si>
  <si>
    <t>Probabilidad inherente</t>
  </si>
  <si>
    <t>Impacto inherente</t>
  </si>
  <si>
    <t>Zona de riesgo Inherente</t>
  </si>
  <si>
    <t>Justificación de valoración en probabilidad e impacto</t>
  </si>
  <si>
    <t>Peso</t>
  </si>
  <si>
    <t>Implementación</t>
  </si>
  <si>
    <t>¿Información confiable?</t>
  </si>
  <si>
    <t>Decisión sobre desviaciones</t>
  </si>
  <si>
    <t>Soporte</t>
  </si>
  <si>
    <t>¿Tiene autoridad y función ?</t>
  </si>
  <si>
    <t>FECHA DE CORTE</t>
  </si>
  <si>
    <t>MATERIALIZACION DEL RIESGO</t>
  </si>
  <si>
    <t>AVANCE CUALITATIVO</t>
  </si>
  <si>
    <r>
      <rPr>
        <b/>
        <sz val="11"/>
        <color indexed="8"/>
        <rFont val="Calibri"/>
        <family val="2"/>
      </rPr>
      <t xml:space="preserve">ENLACE DE EVIDENCIAS EJECUCION DEL CONTROL
</t>
    </r>
    <r>
      <rPr>
        <sz val="8"/>
        <color indexed="8"/>
        <rFont val="Calibri"/>
        <family val="2"/>
      </rPr>
      <t>(Asegurarse que tenga acceso por parte de la OAP)</t>
    </r>
  </si>
  <si>
    <r>
      <rPr>
        <b/>
        <sz val="11"/>
        <color indexed="8"/>
        <rFont val="Calibri"/>
        <family val="2"/>
      </rPr>
      <t xml:space="preserve">ENLACE EVIDENCIAS EJECUCION DEL PLAN DE ACCION
</t>
    </r>
    <r>
      <rPr>
        <sz val="8"/>
        <color indexed="8"/>
        <rFont val="Calibri"/>
        <family val="2"/>
      </rPr>
      <t>(Asegurarse que tenga acceso por parte de la OAP)</t>
    </r>
  </si>
  <si>
    <t>1. Ofrecimiento de dádivas en el trámite.
2. Presiones indebidas de terceros.
3. Soportes del trámite incompletos, adulterados.</t>
  </si>
  <si>
    <t>RC-02</t>
  </si>
  <si>
    <t>Posibilidad de afectación económica y reputacional por generar autorización de promocionales y rifas con incumplimiento de requisitos con el fin de beneficiar a un tercero</t>
  </si>
  <si>
    <t>1. Demandas al proceso.
2. Procesos disciplinarios, fiscales y penales.</t>
  </si>
  <si>
    <t>En probabilidad se determina el riesgo de carácter semanal, y debido a que nunca se ha materializado, se califica su nivel de ocurrencia en cero.
Frente al impacto económico y reputacional, en ambos casos es leve, según las escalas de valoración del impacto.</t>
  </si>
  <si>
    <t>Revisión y validación de los documentos suministrados por el solicitante y verificar el cumplimiento de los requisitos exigidos por la ley</t>
  </si>
  <si>
    <t>El profesional  de la Unidad de Apuestas cada vez que se radica una solicitud debe revisar y validar cada uno de los documentos soporte de dicha solicitud. Esta revisión debe estar efectuada en terminos de completitud de acuerdo a la lista de chequeo vigente y en cuanto a su calidad se debe revisar los requisitos definidos en el marco legal y los expuestos en el respectivo instructivo.</t>
  </si>
  <si>
    <t>Manual</t>
  </si>
  <si>
    <t>Confiable</t>
  </si>
  <si>
    <t>SI</t>
  </si>
  <si>
    <t>Si existen inconsistencias el profesional 3 de la unidad de apuestas debe requerir al solicitante las correcciones o aclaraciones pertinentes.</t>
  </si>
  <si>
    <t>Instructivo solicitud juegos promocionales y rifas (web) 
https://www.loteriadebogota.com/wp-content/uploads/files/promocionales/instructivo_solicitud.pdf
Decreto 1068 de 2015
Decreto 2104 de 2016
Procedimiento autorización y emisión de concepto PRO-420-191-10</t>
  </si>
  <si>
    <t>Cada vez que exista solicitud</t>
  </si>
  <si>
    <t>Plataforma de Juegos Promocionales y Rifas</t>
  </si>
  <si>
    <t>Asignado</t>
  </si>
  <si>
    <t>Profesional III de apuestas</t>
  </si>
  <si>
    <t>Adecuado</t>
  </si>
  <si>
    <t>Desarrollar e implementar una mejora en el aplicativo de promocionales para que la revisión por parte de los funcionarios de la Lotería y los diferentes requerimientos al solicitante queden operados y registrados dentro del sistema o aplicativo.</t>
  </si>
  <si>
    <t>1. Inadecuados controles en el seguimiento de utilización de formularios
2. Posibilidad de fallas tecnológicas en el aplicativo de reporte en línea y tiempo real (Chanseguro)</t>
  </si>
  <si>
    <t>RC-03</t>
  </si>
  <si>
    <t>Posibilidad de inadecuada utilización, pérdida y/o hurto de los formularios por parte del Concesionario con el fin de beneficio propio o de terceros</t>
  </si>
  <si>
    <t>1. Aumento del juego ilegal
2. Disminución de recursos para la salud
3. Terminación anticipada del contrato de concesión</t>
  </si>
  <si>
    <t>Se estableció periodicidad diaria, nivel de ocurrencia uno, ya que no se cuenta con línea base, afectación económica mayor, teniendo en cuenta la dificultad para cuantificar el mercado ilegal de juegos de suerte y azar, y afectación reputacional moderada, en tanto la imagen de la Lotería se vería afectada con algunos usuarios.</t>
  </si>
  <si>
    <t>Solicitar al concesionario un reporte trimestral del listado de los formularios usados en otros productos y servicios</t>
  </si>
  <si>
    <t>Trimestralmente, el profesional responsable de la Unidad de Apuestas Permanentes y Control de Juegos solicitará un reporte del listado de los formularios usados en otros productos y servicios, en el marco de las visitas de fiscalización.</t>
  </si>
  <si>
    <t>Si el concesionario no envía la información, se reitera la solicitud mediante oficio firmado por el supervisor del contrato</t>
  </si>
  <si>
    <t>Relación de documentos solicitados al concesionario, en las visitas de fiscalización</t>
  </si>
  <si>
    <t>Reponsable de la Unidad de Apuestas y Control de Juegos</t>
  </si>
  <si>
    <t>Dejar evidencia en el informe de fiscalización de la información recibida por parte del concesionario frente al listado de los formularios usados en otros productos y servicios</t>
  </si>
  <si>
    <t>Profesional unidad de apuestas</t>
  </si>
  <si>
    <t>Informe de Fiscalización</t>
  </si>
  <si>
    <t>Reportar a la plataforma de auditoría la distribución y asignación de formularios</t>
  </si>
  <si>
    <t>Diariamente, se debe llevar el registro de los formularios entregados desde las bodegas a los satélites, y de los satélites a los colocadores, incluidos los empleados, este reporte se debe realizar al sistema de auditoría del concedente.</t>
  </si>
  <si>
    <t>Si el concesionario no envía la información, se verifica que no se debe a una falla tecnológica interna de la Lotería de Bogotá, si no se debe a esto, se envía solicitud mediante oficio firmado por el supervisor del contrato al concesionario.</t>
  </si>
  <si>
    <t>Reporte generado por plataforma de auditoría</t>
  </si>
  <si>
    <t>Diariamente</t>
  </si>
  <si>
    <t>Dejar evidencia en el informe de fiscalización si el concesionario reportó a la plataforma de auditoría la distribución y asignación de formularios del juego de apuestas permanentes o chance</t>
  </si>
  <si>
    <t>Solicitar al concesionario informar a la entidad concedente la pérdida y/o hurto de formulario, soportado con las denuncias ante entidades competentes</t>
  </si>
  <si>
    <t>Trimestralmente, el profesional responsable de la Unidad de Apuestas Permanentes y Control de Juegos solicitará al concesionario informar a la entidad concedente la pérdida y/o hurto de formulario, soportado con las denuncias ante entidades competentes, en el marco de las visitas de fiscalización.</t>
  </si>
  <si>
    <t>Dejar evidencia en el informe de fiscalización si el concesionario reportó la pérdida y/o hurto de formularios del juego de apuestas permanentes o chance</t>
  </si>
  <si>
    <t>1.Inconsistencias en el reporte de retenidos generado semanalmente.
2. Estados de cuenta incorrectos o desactualizados
3. Ofrecimiento de beneficios por parte de terceros
4. Seguimiento inadecuado al estado de las pólizas</t>
  </si>
  <si>
    <t>RC-04</t>
  </si>
  <si>
    <t>Posibilidad de afectación económica y reputacional por entrega o retención de billetería, o asignación de cupos a distribuidores con incumplimiento de requisitos con fin de favorecer a un tercero a cambio de beneficios.</t>
  </si>
  <si>
    <t>1. Incremento de cartera vencida
2. Pérdida de garantías en un cobro jurídico
3. Apertura de procesos disciplinarios
4. Hallazgos de entes de control</t>
  </si>
  <si>
    <t>Se estableció la periodicidad semanal, debido a que la distribución de la billetería se realiza semanalmente, y nivel de ocurrencia 1, porque el riesgo se materializó una vez en la vigencia 2020.
Frente al impacto, se definió una afectación económica por debajo del 1% del patrimonio de la Lotería de Bogotá (leve), pero la materialización del riesgo conllevaría a una afectación reputacional menor, debido al conocimiento de la Junta Directiva sobre la afectación de la imagen.</t>
  </si>
  <si>
    <t>Reporte semanal por parte de la Unidad Financiera y Contable de los distribuidotres retenidos.</t>
  </si>
  <si>
    <t>El profesional de cartera semanalmente realiza una revisión de los reportes de cartera y del estado de las garantías de los distribuidores con el propósito de identificar incumplimientos en los distribuidores para determinar a cuales de ellos se reteniene el despacho de billetería.</t>
  </si>
  <si>
    <t>Los distribuidores con incumplimiento en sus garantías  y/o pagos deben ser retenidos. No se debe realizar el despacho semanal de billetería</t>
  </si>
  <si>
    <t>Procedimiento Asignación y Distribución de Billetería PRO-410-199-9</t>
  </si>
  <si>
    <t>Memorandos sobre distribución y retención por parte de la Unidad Financiera</t>
  </si>
  <si>
    <t>Profesional de cartera de Unidad Financiera y Contable</t>
  </si>
  <si>
    <t>Actualizar el procedimiento de Asignación y distribución de billetería para fortalecer en descripción de criterios y lineamientos los controles del procedimiento e incorporar control correctivo de autorización de despacho.
Procedimiento Gestión de Cartera PRO-310-244
Este procedimiento debe ser revisado con cartera y actualizar retención de distribuidores virtuales
Contrato atípico</t>
  </si>
  <si>
    <t>Profesional de Cartera</t>
  </si>
  <si>
    <t>Procedimiento asignación y distribución de billetería
PRO-410-199</t>
  </si>
  <si>
    <t>Reporte semanal por parte de la Unidad de Loterías de las garantías.</t>
  </si>
  <si>
    <t>El profesional de la Unidad de Loterías semanalmente realiza una revisión del estado de las garantías de los distribuidores con el propósito de identificar incumplimientos en los distribuidores para determinar a cuales de ellos se reteniene el despacho de billetería.</t>
  </si>
  <si>
    <t>Correo electrónico sobre la retención de billetería por garantía</t>
  </si>
  <si>
    <t>Profesional de la Unidad de Loterías</t>
  </si>
  <si>
    <t xml:space="preserve">Actualizar el procedimiento de gestión de cartera para fortalecer en la descripción de criterios y lineamientos los controles e incorporar con claridad el Concepto de la Secertaría General sobre el estado de las garantias de los distribuidores.
Analizar, definir y documentar los lineamientos claros del concepto semanal del estado de las ganatias por parte de la Secretaría General. Se debe incorporar lineamientos de responsabilidad, frecuencia, horario, medios, soporte en ausencias.
Debe cambiarse el concepto de proporcionar un listado, por el de generar un concepto sobre el estado de las garantías con el fin que dentro de su campo y rol efectue un análisis y genere alertas sobre vencimientos.
El memorando UF  debe remitir antes 3:30 pm., así mismo el jefe de unidad Loterias debe revisar previo al despacho </t>
  </si>
  <si>
    <t>Secretaria General</t>
  </si>
  <si>
    <t>Procedimiento de cartera actualizado</t>
  </si>
  <si>
    <t>1. Oportunidad y razonalización de la situación por parte del profesional de Cartera
2. Ofrecimiento de retribución económica para despacho sin cumplimiento de requisitos
3. Falta de ética profesional del profesional de cartera</t>
  </si>
  <si>
    <t>RC-05</t>
  </si>
  <si>
    <t xml:space="preserve">Posibilidad de afectación económica y reputacional por despacho a distribuidores sin cumplimiento de requisitos con el fin de beneficio propio o de terceros, a causa de la oportunidad  y razonalizacion de la situacion  por parte del profesional de Cartera ;  Ofrecimiento de retribucion  economica para despacho sin cumplimiento de requisitos : Falta de Etica profesional del Profesional de  Cartera </t>
  </si>
  <si>
    <t>1. Incremento de cartera
2. Investigaciones disciplinarias y judiciales</t>
  </si>
  <si>
    <t>Se estableció periodicidad diaria, debido a que el despacho se realiza con esta periodicidad, nivel de ocurrencia en cero, debido a que el riesgo no se ha materializado, afectación económica leve, ya que el valor en el peor caso de materializarse el riesgo estaría por debajo del 1% del patrimonio de la Lotería de Bogotá.
Frente a la afectación reputacional es menor, debido a la iimagen afectada de la organización de manera interna.</t>
  </si>
  <si>
    <t xml:space="preserve">Constatar en forma preliminar la conciliacion efectuadas  ppr parte de los distribuidores de las entidad con el fin de identificar recaudos que no se hayan cargado al aplicativo por las  diferente  razones que puedan darse lo que permite  llegar a fin de mes con un conciliacion mas limpia. </t>
  </si>
  <si>
    <t>En caso de que los valores de las conciliaciones no concuerdan, se realizan los ajustes correspondientes con las áreas responsables.</t>
  </si>
  <si>
    <t>Conciliación realizada</t>
  </si>
  <si>
    <t>Conciliaciones bancarias: Profesional del área de Contabilidad
Conciliaciones de premios: Responsable de Unidad de Loterías y profesional de Cartera</t>
  </si>
  <si>
    <t xml:space="preserve">Actualizar el procedimiento PRO-310-244 Gestión de Cartera, para incluir lo relacionado con conciliaciones, de manuera mensual y todo se reportar por correo al sistema de informacion contable </t>
  </si>
  <si>
    <t>Procedimiento actualizado</t>
  </si>
  <si>
    <t>1. Fácil acceso a plantilla institucional de documentos de la entidad, posibilitando la realización de certificados con información falsa.
2. Intereses indebidos para la expedición de certificados</t>
  </si>
  <si>
    <t>RC-06</t>
  </si>
  <si>
    <t>Posibilidad de afectación reputacional por expedición de certificados laborales con información falsa por un funcionario de la Unidad de Talento Humano con el fin de beneficio propio o de un tercero</t>
  </si>
  <si>
    <t>1. Pérdida de credibilidad ante agentes externos.
2. Investigaciones disciplinarias y penales</t>
  </si>
  <si>
    <t>Verificación de soportes para la expedición de certificados laborales</t>
  </si>
  <si>
    <t>El responsable de expedición de certificados proyecta el documento para firma de la Jefe de la Unidad de Talento Humano con los soportes correspondientes, cada vez que sea requerido.</t>
  </si>
  <si>
    <t>1. Vulneribilidad del Sistema administrativo, financiero y misional.
2. Fallas en el Sistema administrativo, financiero y misional.</t>
  </si>
  <si>
    <t>RC-07</t>
  </si>
  <si>
    <t>Posibilidad de afectación económica y reputacional debido a liquidación errónea de la nómina con el fin de beneficio propio o de un tercero</t>
  </si>
  <si>
    <t>1. Investigaciones disciplinarias.
2. Investigaciones penales.
3. Investigaciones fiscales.</t>
  </si>
  <si>
    <t>Revisión por parte del Jefe de la Unidad de Talento Humano de la prenómina</t>
  </si>
  <si>
    <t>El Profesional de nómina mensualmente debe enviar a revisión del Jefe de la Unidad de Talento Humano la prenómina con los soportes correspondientes.</t>
  </si>
  <si>
    <t>Procedimiento liquidación nómina PRO.320-221-8.</t>
  </si>
  <si>
    <t>Enviar a revisión con los soportes correspondientes la prenómina a Secretaría General</t>
  </si>
  <si>
    <t>El Profesional de nómina, previa validación por parte del Jefe de la Unidad de Talento Humano envía a revisión de la Secretaría General la prenómina con los soportes correspondientes.</t>
  </si>
  <si>
    <t>Si la Secretaría General solicita algún ajuste frente a la prenómina, el responsable de la Unidad de Talento Humano valida, y ajusta, luego envía de nuevo la prenómina a la Secretaría General, previa cvalidación por parte del Jefe de la Unidad de Talento Humano</t>
  </si>
  <si>
    <t>1. Intereses indebidos para la vinculación de talento humano.</t>
  </si>
  <si>
    <t>RC-08</t>
  </si>
  <si>
    <t>Posibilidad de afectación reputacional por expedición de certificados experiencia e idoneidad sin el lleno de requisitos con el fin de beneficio propio o de un tercero</t>
  </si>
  <si>
    <t>1. Investigaciones disciplinarias.</t>
  </si>
  <si>
    <t>Verificación de certificados de estudios y experiencia.</t>
  </si>
  <si>
    <t>El responsable de la Unidad de Talento Humano cada vez que se deba expedir un certificado de experiencia e idoneidad, debe verificar los certificados de estudios (tarjetas profesionales y diplomas presentadas por el aspirante), así como la experiencia relacionada con el objeto del contrato.</t>
  </si>
  <si>
    <t>1. Hurto intencionado por parte de funcionarios y/o terceros.
2. Filtración de información de seguridad en las combinaciones de la cajas fuertes.
3. Falta de controles adecuados en el manejo de los tokens, claves bancarias y seguridad en la custodia de los títulos valores.</t>
  </si>
  <si>
    <t>RC-09</t>
  </si>
  <si>
    <t>Posibilidad de afectación económica y reputacional por pérdida de títulos de valor y/o recursos en depósitos en cuentas bancarias en entidades financieras, con el fin de un beneficio propio o de terceros</t>
  </si>
  <si>
    <t>1. Reposición de título valor por pérdida
2. Uso no autorizado de títulos valor
3. Pérdida de recursos
4. Procesos disciplinarios y fiscales
5. Hallazgos de entes de control</t>
  </si>
  <si>
    <t>La periodicidad se estableció en semanal, y nivel de ocurrencia cero, ya que el riesgo no se ha materializado.
En afectación económica es menor debido a que podría llegar a afectar la disponibilidad de recursos de la entidad.
La afectación reputacional también es menor, debido a las instancias donde se afectaría la imagen de la Lotería de Bogotá.</t>
  </si>
  <si>
    <t>Token de acceso a portales bancarios guardados en bóveda de seguridad</t>
  </si>
  <si>
    <t>El Representante legal debe tramitar ante el banco la solicitud de administracion de portal y con este servicio se asignan tokens de seguridad para acceso a los portales bancarios. El tesorero guarda estos tokens en la boveda de seguridad todos dias al finalizar la labor. El Tesorero es el único funcionario con la autorización suficiente para el uso de los tokens de seguridad de cada entidad financiera.</t>
  </si>
  <si>
    <t>Con el fin de evitar la interrupción de la operación del proceso, el tesorero(a) entregará al Jefe de la Unidad Financiera y Contable un sobre sellado con la relación de tokens y clave de las bóvedas de seguridad, que se utilizará en caso de fuerza mayor, quién será el responsable del manejo de esta información.</t>
  </si>
  <si>
    <t>Procedimiento gestión de egresos PRO-310-246-9
Protocolo de seguridad y manejo de las cuentas</t>
  </si>
  <si>
    <t>Diario</t>
  </si>
  <si>
    <t>Se cuenta con carpeta que contiene información sobre los tokens con que cuenta tesorería.</t>
  </si>
  <si>
    <t>Tesorero(a)
Jefe de la Unidad Financiera y Contable</t>
  </si>
  <si>
    <t>Dar cumplimiento al Protocolo de seguridad y manejo de las cuentas</t>
  </si>
  <si>
    <t>Tesorero(a)
Auxiliar Administrativo de Tesorería
Jefe Unidad Financiera y Contable</t>
  </si>
  <si>
    <t>Soportes de implementación del Protocolo de seguridad y manejo de las cuentas</t>
  </si>
  <si>
    <t/>
  </si>
  <si>
    <t>Bovedas de seguridad para custodia de documentos</t>
  </si>
  <si>
    <t>Se cuenta con dos cajas fuertes, una en la Oficina de la Tesorería General, y la segunda en la Oficina del Auxiliar de Tesorería, y cada uno maneja y conoce la clave de la caja fuerte de su oficina, esas claves son conocidas únicamente por estos responsables.
El Auxiliar administrativo asignado a la tesoreria tiene acceso a la  bóveda donde se custodian: premios en proceso de pago, chequeras en uso, sello seco para los cheques y documentos bancarios que lo ameriten.
La bóveda asignada a la o el Tesorera (o) se custodia: token, claves, titulos valor, cdt, cheques, billetes en proceso de investigación de fraude, tarjetas bonos para estímulo de ventas.</t>
  </si>
  <si>
    <t>Protocolo de seguridad y manejo de las cuentas</t>
  </si>
  <si>
    <t>Protocolo de seguridad y manejo de las cuentas, apartado sobre cajas de seguridad.</t>
  </si>
  <si>
    <t>Tesorero(a)
Auxiliar Administrativo de Tesorería
Jefe de la Unidad Financiera y Contable</t>
  </si>
  <si>
    <t>Diseñar e implementar un formato de Relación de Tokens manejo Tesorería</t>
  </si>
  <si>
    <t>Tesorera</t>
  </si>
  <si>
    <t>Formato de Relación de Tokens manejo Tesorería</t>
  </si>
  <si>
    <t>Inventario mensual de títulos valores (cheques, CDT)</t>
  </si>
  <si>
    <t>Mensualmente el tesorero(a) realiza inventario de los CDTS en custodia y junto con el auxiliar de tesorería elaboran actas con el inventario de cheques. Dentro de estas actas se relacionan: el banco, la cuenta y el numero de cheque con su intervalo. El acta debe estar firmada por los dos involucrados relacionando fecha y hora de la actividad.</t>
  </si>
  <si>
    <t>Si existe perdida de algún título valor se debe solicitar al banco el no pago del título valor y seguir el protocolo establecido por el banco.</t>
  </si>
  <si>
    <t>Acta control de cheques</t>
  </si>
  <si>
    <t>Elaborar el Inventario mensual de títulos valores (cheques, CDT)</t>
  </si>
  <si>
    <t>Tesorero(a)
Auxiliar Administrativo de Tesorería</t>
  </si>
  <si>
    <t>Inventario mensual de títulos valores</t>
  </si>
  <si>
    <t>1. Inadecuado control de inventarios
2. Inadecaudo sitio de almacenamiento
3. Falta de mantenimiento a los bienes
4. Incumplimiento de las condiciones de manipulación y almacenamiento de los bienes
5. Sustracción no autorizada de elementos</t>
  </si>
  <si>
    <t>RC-10</t>
  </si>
  <si>
    <t>Posibilidad de afectación económica por la pérdida o deterioro de elementos o bienes de la Lotería con el fin de ocasionar daño o beneficio a terceros.</t>
  </si>
  <si>
    <t>1. Perjuicios economicos para la entidad
2. Incumplimiento en las entregas
3. Procesos disciplinarios
4. Procesos penales</t>
  </si>
  <si>
    <t>Se definió la probabilidad de carácter trimestral debido a que la ejecución de los controles que ejecuta el almacenista tiene esa periodicidad.
Se definió en cero el nivel de ocurrencia por año, debido a que el riesgo no se ha materializado en los últimos seis años.
La afectación económica en ningún caso llega a calcularse en el 1% del patrimonio de la Lotería de Bogotá, razón por la cual se estableció en leve.</t>
  </si>
  <si>
    <t>El almacenisma trimestralmente verificará las existencias de consumo y publicidad a través del aplicativo en el cual se relacionan las cantidades existentes por sistema de cada elemento de consumo, y se confronta con el físico de la bodega del sotano del almacén y el almacén de los promocionales. La almacenista realiza control de consumo por área de acuerdo al historíco de consumo.
Si existen desviaciones del control, el Almacenista se debe informar por correo electrónico al jefe del area sobre las diferencias detectadas y se debe identificar las causas del descuadre. Realizando un análisis de la trazabilidad de los movimientos.
El soporte del control son los listados de existencias.</t>
  </si>
  <si>
    <t>El almacenisma trimestralmente debe emitir un listado de existencias a través del aplicativo en el cual se relacionan las cantidades existentes por sistema de cada elemento de consumo, y se confronta con el físico de la bodega del sotano del almacén y el almacén de los promocionales. La almacenista realiza control de consumo por área de acuerdo al historíco de consumo.</t>
  </si>
  <si>
    <t>Se debe informar por correo electrónico al jefe del area sobre las diferencias detectadas y se debe identificar las causas del descuadre. Realizando un análisis de la trazabilidad de los movimientos.</t>
  </si>
  <si>
    <t>Procedimiento de administración de bienes y/o elementos devolutivos PRO.330.238</t>
  </si>
  <si>
    <t>Listados de existencias</t>
  </si>
  <si>
    <t>Almacenista
Jefe Unidad de bienes y servicios</t>
  </si>
  <si>
    <t>La Almacenista de manera aleatoria verificará los bienes a cargo de funcionarios de la entidad</t>
  </si>
  <si>
    <t>Jefe Unidad de Recursos Físicos - Almacenista - CIGYD</t>
  </si>
  <si>
    <t>Inventario firmado
Acta de verificación</t>
  </si>
  <si>
    <t>El almacenisma anualmente (enero con corte 31 de diciembre) debe realizar la verificación de existencias en almacén y el inventario individual de cada funcionario través del aplicativo. El individiual se envia por email a cada funcionario con el fin de verificar que la relacion corresponda a la realidad  y se confronta con el físico de la bodega del sotano del almacén y el almacén de los promocionales.
Si se detectan desviaciones en la ejecución del control, se debe informar por correo electrónico al jefe del area sobre las diferencias detectadas y se debe identificar las causas del descuadre. Realizando un análisis de la trazabilidad de los movimientos.
Se otorga un plazo (3 días) para que el funcionario ubique el elemento, el almacenista debe informar a Secretaría General para iniciar un proceso disciplinario.
Como soporte del control, la evidencia son los listados de existencias, actas de verificación, e inventarios individuales firmados por los funcionarios.</t>
  </si>
  <si>
    <t>El almacenisma anualmente (enero con corte 31 de diciembre) debe emitir un listado de existencias en almacén y el inventario individual de cada funcionario través del aplicativo. El individiual se envia por email a cada funcionario con el fin de verificar que la relacion corresponda a la realidad  y se confonta con el físico de la bodega del sotano del almacén y el almacén de los promocionales.</t>
  </si>
  <si>
    <t>Se debe informar por correo electrónico al jefe del area sobre las diferencias detectadas y se debe identificar las causas del descuadre. Realizando un análisis de la trazabilidad de los movimientos.
SE le da el tiempo (3 días) para que el funcionario para que ubique el elemento. el almacenista debe informar a secretaria para iniociar un proceso disciplinario</t>
  </si>
  <si>
    <t>Procedimiento de inventario PRO.330.240</t>
  </si>
  <si>
    <t>Listados de existencias
Acta de verificación
Inventarios individuales firmados por los funcionarios.</t>
  </si>
  <si>
    <t>Almacenista
Jefe Unidad de Recursos Físicos</t>
  </si>
  <si>
    <t>La Almacenista enviará los inventarios individuales de manera semestral a todos los funcionarios de la entidad.</t>
  </si>
  <si>
    <t>Jefe Unidad de Recursos Físicos</t>
  </si>
  <si>
    <t>Inventarios individuales enviados por correo institucional.</t>
  </si>
  <si>
    <t>El Almacenista, cada vez que un funcionario presente alguna de las siguientes situaciones administrativas: 1.Vacaciones, 2. Traslados, 3. Retiros, verifica el inventario entregado por el funcionario asignado en el aplicativo. 
Si se identifica desviación del control, se otorga el plazo (3 días) para que el funcionario ubique el elemento, el almacenista debe informar a Secretaría General para iniciar un proceso disciplinario
Como soporte de la ejecución del control, resulta: acta de entrega para traslado y vacaciones, formato para retiro de funcionarios y contratistas.</t>
  </si>
  <si>
    <t>Cada vez que un funcionario tiene una de estas novedades debe entregar el inventario a su cargo, se emite el listado del aplicativo se verifica la existencia y se firma. Acta de entrega para traslado y vacaciones
paz y salvo para retiro.</t>
  </si>
  <si>
    <t>Se le da el tiempo (3 días) para que el funcionario para que ubique el elemento. el almacenista debe informar a secretaria para iniociar un proceso disciplinario</t>
  </si>
  <si>
    <t xml:space="preserve">Procedimiento de inventario PRO.330.240
</t>
  </si>
  <si>
    <t>Cada vez que suceda la novedad</t>
  </si>
  <si>
    <t>Paz y salvo</t>
  </si>
  <si>
    <t>El personal de seguridad de manera constante monitorea las cámaras del CCTV.
En recepción debe permanentemente evidenciar que las camaras esten grabando y debe informar telefonicamente la novedad.
Anualmente se realiza una verificación de funcionamiento por la empresa de vigilancia, sitio correcto y radar de alcance de cada cámara.
El mantenimiento está a cargo de la Lotería de Bogotá.
CCTV en el almacén (entrada, interior con sensor de movimiento) y el resto de las instalaciones de la Entidad.
El DVR del CCTV se encuentra el el centro de computo de sistemas (control de acceso), cuenta con una capacidad de almacenamiento 30 dias aprox dependiendo del volumen (Variabilidad de grabación de las cámaras del sensor de movimiento). 
Si se detectan desviaciones en el control, la Unidad de Recursos Físicos debe ajustar las cámaras que no esten grabando
Se debe realizar solicitud y autorización de los arreglos.
Como soporte de la ejecución del control resulta el soporte de mantenimiento preventivo realizado por la Lotería de Bogotá.</t>
  </si>
  <si>
    <t>El DVR del CCTV se encuentra el el centro de computo de sistemas (control de acceso) y es vigilado permanentemente por el personal de seguridad (pantalla). Capacidad de almacenamiento 30 dias aprox dependiendo del volumen (Variabilidad de grabación de las cámaras del sensor de movimiento). En recepción debe permanentemente evidenciar que las camaras esten grabando y debe informar telefonicamente la novedad.
Anualmente se realiza una verificación de funcionamiento por la empresa de vigilancia, sitio correcto y radar de alcance de cada cámara.
El mantenimiento está a cargo de la Lotería de Bogotá.</t>
  </si>
  <si>
    <t>La Unidad de Recursos Físicos debe ajustar las cámaras que no esten grabando
Se debe realizar solicitud y autorización de los arreglos</t>
  </si>
  <si>
    <t>Contrato de vigilancia</t>
  </si>
  <si>
    <t>Permanente</t>
  </si>
  <si>
    <t>Soporte de mantenimiento preventivo realizado por la Lotería de Bogotá.</t>
  </si>
  <si>
    <t>Supervisor del contrato de vigilancia</t>
  </si>
  <si>
    <t>El jefe de la Unidad de Recursos Físicos anualmente debe verifica la elaboración del contrato de seguros con el fin de proteger los bienes patrimoniales de la entidad, muebles e inmuebles, maquinaria y equipos.
Se gestionan las siguientes pólizas: 1. Todo Riesgo daños combinados, 2. Poliza de manejo, 3. Poliza contra hurto.
Si se detectan desviaciones en la ejecución del control, si hay compra de nuevos bienes o pérdida de elementos, se debe informar a la aseguradora para los fines pertinentes.
Como soporte de la ejecución del control resultan las pólizas físicas, copia digital en la red de la Unidad de Recursos Físicos.</t>
  </si>
  <si>
    <t>Anualmente el jefe de recursos físicos debe gestionar la elaboración del contrato de seguros con el fin de proteger los bienes patrimoniales de la entidad. Muebles e inmeubles maquinaria y equipos</t>
  </si>
  <si>
    <t>Compra de nuevos bienes factura y entrada elaborar memorando a la compañía de seguros para expedir una adición a la políza y realizan el cobro respectivo
Perdida de una elemento informar adjuntar copia del denuncio y se inicia el proceso de igual o mejor.</t>
  </si>
  <si>
    <t>Polizas físicas
copia digital en la red de RF</t>
  </si>
  <si>
    <t>No Asignado</t>
  </si>
  <si>
    <t>1. Desconocimiento por parte del supervisor de sus deberes y las obligaciones del contratista.
2. Omisión de requisitos para favorecer un tercero
3. Falta de claridad en los entregables y obligaciones del proveedor o contratista
4. Falta de seguimiento y control al trabajo que debe reportar el contratista a los supervisores</t>
  </si>
  <si>
    <t>RC-11</t>
  </si>
  <si>
    <t>Posibilidad de realizar inadecuada supervisión de contratos con el fin de favorecer a un tercero.</t>
  </si>
  <si>
    <t>1. Incumplimiento contractual
2. Perjuicios económicos para la entidad
3. Desgaste administrativo 
4. Procesos disciplinarios
5. Procesos jurídicos</t>
  </si>
  <si>
    <t>La periodicidad se estableció en mensual, debido a que el 90% de los contratos, se ejecutan con periodicidad mensual, el nivel de ocurrencia se definió por debajo de la línea base sugerida de la Política de Administración del Riesgo, ya que no se cuenta con soportes de que el riesgo se haya materializado.
Frente al impacto, se estableció la afectación económica en leve, debido al promedio de valor de los contratos, y afectación reputacional en menor, debido a la imagen afectada de la Lotería de Bogotá de manera interna.</t>
  </si>
  <si>
    <r>
      <t xml:space="preserve">
</t>
    </r>
    <r>
      <rPr>
        <sz val="12"/>
        <color indexed="10"/>
        <rFont val="Calibri"/>
        <family val="2"/>
      </rPr>
      <t>El supervisor  conforme a la periodicidad establecida en el contrato y con el fin de verificar el cumplimiento de las obligaciones contractuales, deberá revisar y analizar  que los informes presentados por el contratista para el pag</t>
    </r>
    <r>
      <rPr>
        <sz val="12"/>
        <rFont val="Calibri"/>
        <family val="2"/>
      </rPr>
      <t>o, de acuerdo a las estipulaciones contractuales, contengan los productos o documentos que soporten la actividad y sean pertinentes para acreditar el cumplimiento. En caso de indentificar que el informe o la actividad reportada no cumple con las condicionaes pactadas, deberá requerir al contratista para el respectivo ajuste. Una vez verificado el cumpimiento, el supervisor a través del formato dispuesto para el informe de seguimiento contractual, certificará el cumpliento de las obligaciones contractuales.
Como soporte de la ejecución del control resulta el Informe de supervisión.</t>
    </r>
  </si>
  <si>
    <t xml:space="preserve">
El supervisor  conforme a la periodicidad establecida en el contrato y con el fin de verificar el cumplimiento de las obligaciones contractuales, deberá revisar y analizar  que los informes presentados por el contratista para el pago, de acuerdo a las estipulaciones contractuales, contengan los productos o documentos que soporten la actividad y sean pertinentes para acreditar el cumplimiento. En caso de indentificar que el informe o la actividad reportada no cumple con las condicionaes pactadas, deberá requerir al contratista para el respectivo ajuste. Una vez verificado el cumpimiento, el supervisor a través del formato dispuesto para el informe de seguimiento contractual, certificará el cumpliento de las obligaciones contractuales.</t>
  </si>
  <si>
    <t>El supervisor de los contratos debe realizar un oficio o correo electrónico sobre el incumplimiento y soporte del mismo, al contratista y al ordenador del gasto, con el fin que se tomen las decisiones y correctivos necesarios.
Si se presenta inconsistencia del cumplimiento de las obligaciones contractuales, el supervisor no debe tramitar la cuenta correspondiente.
El supervisor debe mantener informado al ordenador del gasto de los hechos o circunstancias que puedan afectar la ejecución del contrato, o que puedan poner o pongan en riesgo el cumplimiento del contrato, o cuando tal incumplimiento se presente.</t>
  </si>
  <si>
    <t>Manual contratacion
Procedimento seguimiento contractual PRO-03-235-8</t>
  </si>
  <si>
    <t>Informe de supervisión</t>
  </si>
  <si>
    <t>Supervisor del contrato</t>
  </si>
  <si>
    <t>Mantener actualizados los procedimientos de: 
- Seguimiento Contractual
- Manual de Contratación</t>
  </si>
  <si>
    <t>Procedimientos actualizados cuando se requiera</t>
  </si>
  <si>
    <r>
      <t xml:space="preserve">La Secretaría General garantizará anualmente la realización de  una capacitación dirigida a los supervisores de contratos, en relación con las funciones y responsabilidades de la supervisión con la finalidad de brindar herramientas para el buen ejercicio  de la función de supervisión. </t>
    </r>
    <r>
      <rPr>
        <sz val="12"/>
        <color indexed="10"/>
        <rFont val="Calibri"/>
        <family val="2"/>
      </rPr>
      <t xml:space="preserve">La capacitación tiene como fin recordar y afianzar conocimiento en el cumplimiento de las obligaciones </t>
    </r>
    <r>
      <rPr>
        <sz val="12"/>
        <rFont val="Calibri"/>
        <family val="2"/>
      </rPr>
      <t xml:space="preserve">
En caso de inasistencia, se reportará a la Unidad de Talento Humano con la finalidad de generar una acción de mejora respecto de los servidores públicos que no asistieron, dicha capacitación deberá ser evaluada para identificar la apropiación del conocimiento por parte del público objetivo.
Como soporte de la ejecución del control, resulta el formato de lista de asistencia de los supervisores presentes junto con la memorias de la capacitación.</t>
    </r>
    <r>
      <rPr>
        <sz val="12"/>
        <color indexed="10"/>
        <rFont val="Calibri"/>
        <family val="2"/>
      </rPr>
      <t xml:space="preserve"> </t>
    </r>
  </si>
  <si>
    <t>La Secretaría General articulará anualmente la realización de  una capacitación dirigida a los supervisores de contratos, en relación con las funciones y responsabilidades de la supervisión con la finalidad de brindar herramientas para el buen ejercicio  de la función de supervisión. Se dejará constancia a través del formato de lista de asistencia de los supervisores presentes junto con la memorias de la capacitación. En caso de inasistencia, se reportará a la Unidad de Talento Humano con la finalidad de generar una acción de mejora respecto de los servidores públicos que no asistieron, dicha capacitación deberá ser evaluada para identificar la apropiación del conocimiento por parte del público objetivo.</t>
  </si>
  <si>
    <t>Politica de Prevencion del Daño Antijurídico adoptado por el Comité de conciliacion de la Lotería de Bogotá.</t>
  </si>
  <si>
    <t>Listas de asistencia a la capacitación</t>
  </si>
  <si>
    <t>Realizar la capacitación</t>
  </si>
  <si>
    <t>Listados de asistencia</t>
  </si>
  <si>
    <t>1. Prestamo de documentación sin el debido registro y control
2. Instalaciones que no cumplan con las normas mínimas de conservación.
3. Desastres naturales en las instalaciones respectivas
4. Malas practicas en la manipulación y organización de los archivos y/o expedientes
5. Falta de recursos (económicos, talento humano, tecnológico) para el cumplimiento de las disposiciones del programa de gestión documental
6. Debilidades en el control de acceso a las zonas de salvaguarda
7. Falta de capacitación y sensibilización en buenas prácticas
8. Intereses personales con beneficio hacia terceros.
9. Fallas en el aplicativo de radicación -SIGA-.</t>
  </si>
  <si>
    <t>RC-12</t>
  </si>
  <si>
    <t>Posibilidad de afectación reputacional por pérdida y/o daño parcial o total de la confidencialidad e integridad de documentos o expedientes en el archivo con el fin de obtener beneficio propio o a un tercero.</t>
  </si>
  <si>
    <t>1. Pérdida de la memoria institucional
2. Incumplimiento de las normas sobre archivo.
3. Incumplimiento en la entrega oportuna de información. 
4. Apertura de procesos disciplinarios
5. Hallazgos de entes de control</t>
  </si>
  <si>
    <t>Se estableció el nivel de ocurrencia en 71 siguiendo la línea base de la periodicidad diaria de la Política de Administración del Riesgo de la entidad.
Se estableció el nivel de impacto en moderado, bajo el escenario donde el riesgo se materialice con participación de entes de control.</t>
  </si>
  <si>
    <t>El responsable de la Unidad de Recursos Físicos una vez se ha aprobado el préstamo documental garantiza el registro en el formato respectivo la información pertinente del prestamo.
Para este control no aplican desviaciones, y el soporte de ejecución de control Formato de Control de Préstamos Documentales debidamente diligenciado.</t>
  </si>
  <si>
    <t>El responsable de la Unidad de Recursos Físicos una vez se ha aprobado el préstamo documental garantiza el registro en el formato respectivo la información pertinente del prestamo.</t>
  </si>
  <si>
    <t>Formato de Control de Préstamos Documentales debidamente diligenciado.
El Procedimiento Gestión de archivo PRO-330-213 no define claramente que cada préstamo debe ser registrado en la planilla de control</t>
  </si>
  <si>
    <t>Cada vez que se entregue documentación de prestamo</t>
  </si>
  <si>
    <t>Formato de consulta, préstamo y devolución de documentación y/o información FRO-330-397-1</t>
  </si>
  <si>
    <t>Auxiliar Administrativo SICA</t>
  </si>
  <si>
    <t>* Realizar Seguimiento y control de consulta y prestamo de expediente mediante el Formato de consulta, préstamo y devolución de documentación y/o información FRO-330-397-1
1. Control de revisión de las solicitudes de prestamos documentales .
2. Lineamiento claro del registro en la planilla de cada prestamo</t>
  </si>
  <si>
    <t>Responsable de la Unidad de Recursos Físicos</t>
  </si>
  <si>
    <t>Formato de consulta, préstamo y devolución de documentación y/o información FRO-330-397-1 con la trazabilidad de la información prestada</t>
  </si>
  <si>
    <t>El responsable de la Unidad de Recursos Físicos una vez reciba la devolución del documento o expediente prestado este debe inspeccionar las condiciones físicas, de integridad y completitud que tengan. Estas condiciones deben cumplir los lineamientos definidos en la Lotería.
En caso de que el documento o expediente prestado no cuente con las condiciones físicas, de integridad y completitud, se debe informar al funcionario las inconsistencias que presente el expediente, para que responda por las mismas.
El soporte de ejecución de control es el formato de consulta, préstamo y devolución de documentación y/o información debidamente diligenciado.</t>
  </si>
  <si>
    <t>El responsable de la Unidad de Recursos Físicos una vez reciba la devolución del documento o expediente prestado este debe inspeccionar las condiciones físicas, de integridad y completitud que tengan. Estas condiciones deben cumplir los lineamientos definidos en la Lotería.</t>
  </si>
  <si>
    <t>En caso de que el documento o expediente prestado no cuente con las condiciones físicas, de integridad y completitud, se debe informar al funcionario las inconsistencias que presente el expediente, para que responda por las mismas.</t>
  </si>
  <si>
    <t>El Procedimiento Gestión de archivo PRO-330-213 no contempla las decisones o alternativas frente a la detección de desviaciones.</t>
  </si>
  <si>
    <t>Cada vez que se devuelve la documentación prestada</t>
  </si>
  <si>
    <t>* Elaborar Instructivo avalado por el Sistema de Gestión de Calidad, de consulta y prestamo de expedientes
Lineamientos Verificación de condiciones físicas, de integridad y completitud, del archivo cuando se recibe la devolución del documento o expediente prestado.</t>
  </si>
  <si>
    <t>Instructivo elaborado</t>
  </si>
  <si>
    <t xml:space="preserve">El responsable de la Unidad de Recursos Físicos una vez reciba la documentación entregada por parte de las áreas funcionales debe verificar si el documento cumplió el plazo de retención documental en el archivo de gestión de la dependencia, verificar que la documentación este ordenada, foliada y rotulada en carpetas para enviar al archivo central.
En caso de existir documentos en medio magnético se debe etiquetar y especificar el contenido.
Si existen incumplimientos o inconsistencias de los requisitos en la entrega de la documentación, esta debe ser devuelta al área respectiva, con el fin de ajustar las desviaciones respectivas.
El soporte de ejecución de control es el Formato Unico de Inventario Documental  debidamente diligenciado.
</t>
  </si>
  <si>
    <t>El responsable de la Unidad de Recursos Físicos una vez reciba la documentación entregada por parte de las áreas funcionales debe verificar si el documento cumplió el plazo de retención documental en el archivo de gestión de la dependencia, verificar que la documentación este ordenada, foliada y rotulada en carpetas para enviar al archivo central.
En caso de existir documentos en medio magnético se debe etiquetar y especificar el contenido.</t>
  </si>
  <si>
    <t>Si existen incumplimientos o inconsistencias de los requisitos en la entrega de la documentación, esta debe ser devuelta al área respectiva, con el fin de ajustar las desviaciones respectivas.</t>
  </si>
  <si>
    <t>El Procedimiento Gestión de archivo PRO-330-213-9, en el documento no se tiene estipulado de manera clara que pasa si se detectan inconsistencias en la documentación entregada</t>
  </si>
  <si>
    <t>Cada vez que se entrega documentación para transferencia, acorde al cronograma establecido</t>
  </si>
  <si>
    <t>Formato Unico de Inventario Documental FRO-0330-281-2</t>
  </si>
  <si>
    <t>Profesional de Gestión Documental y Jefe de la Unidad</t>
  </si>
  <si>
    <t>1.Ausencia de medios para la vigilancia judicial.
2.  Inoportuna actuación por parte del abogado responsable del proceso.
3. .Pérdida de información.
Manipulación de información.</t>
  </si>
  <si>
    <t>RC-13</t>
  </si>
  <si>
    <t>Posibilidad de afectación económica y reputacional por interés indebido en procesos judiciales en contra de los intereses de la Lotería con el fin de favorecer a un tercero.</t>
  </si>
  <si>
    <t>1. Detrimento Patrimonial del Loteria, pérdida de los recursos
2. Pérdida de imagen Institucional.
3. Procesos sancionatorios, disciplinarios, fiscales y penales.</t>
  </si>
  <si>
    <t>Seguimiento mensual de los procesos judiciales con que cuenta la Lotería de Bogotá</t>
  </si>
  <si>
    <r>
      <rPr>
        <sz val="12"/>
        <color indexed="8"/>
        <rFont val="Calibri"/>
        <family val="2"/>
      </rPr>
      <t xml:space="preserve">Los contratistas deben subir la información de cada actuación que se realiza en el proceso judicial asignado, se verifica el cargue y actualización de procesos en SIPROJ. </t>
    </r>
    <r>
      <rPr>
        <sz val="12"/>
        <color indexed="10"/>
        <rFont val="Calibri"/>
        <family val="2"/>
      </rPr>
      <t xml:space="preserve">El propósito del control es realizar veificación a cada uno de los prosesos y su avance en cumplimiento de las funciones de defensa judical en responsabilidad de la SG
</t>
    </r>
    <r>
      <rPr>
        <sz val="12"/>
        <color indexed="8"/>
        <rFont val="Calibri"/>
        <family val="2"/>
      </rPr>
      <t>Con lo anterior, el primer filtro de revisión lo realizan los abogados de apoyo con usuario asignado de SIPROJ designado de Secretaría General, y el segundo filtro de revisión lo realiza la Secretaria General.
Los abogados de apoyo en el informe mensual que entregan, incluyen screenshots de la plataforma SIPROJ, donde se evidencia el cargue y actualización de los procesos a su cargo.</t>
    </r>
    <r>
      <rPr>
        <sz val="12"/>
        <color indexed="10"/>
        <rFont val="Calibri"/>
        <family val="2"/>
      </rPr>
      <t xml:space="preserve"> Si se evidencia información faltante se solicita su cargue y se devuelve la cuenta de cobro </t>
    </r>
  </si>
  <si>
    <t>Si la Base de procesos judiciales actualizada no concuerda con la información que reposa en el Siprojweb, se requiere al abogado encargado para que realice la debida actualización en el sistema.</t>
  </si>
  <si>
    <t>Procedimiento Gestión Judicial PRO-103-231</t>
  </si>
  <si>
    <t>Cada vez que se presenta un proceso judicial</t>
  </si>
  <si>
    <t>Expediente del contratista
Aplicativo SIPROJ</t>
  </si>
  <si>
    <t>Secretaria General
Trabajadores y contratistas asignados para apoyar supervisión.</t>
  </si>
  <si>
    <t>Realizar seguimiento mensual a la información registrada en Siprojweb.</t>
  </si>
  <si>
    <t>Soporte de información registrada en Siprojweb.</t>
  </si>
  <si>
    <t xml:space="preserve">Presentación al Comité de Conciliación del perfil del abogado escogido por la Secretaria General para la representación judicial de la entidad . </t>
  </si>
  <si>
    <r>
      <t>De acuerdo con la necesidad de contratación y atendiendo el plan de compras de la entidad, la Secretaria General presentará al Comité de Conciliación el perfil del abogado seleccionado para la representación judicial de la entidad, en la exposición indicará el cumplimiento a los lineamientos definidos por el Comité de Concliación para quien deba ejercer la representación judicial. Se busca una representación judicial con experencia y experticia para controlar el riesgo por pérdida judicial. En comité se dejará evidencia sobre el cumplimiento de esos requisitos y en caso contrario se solicitará su ajuste a los lineamientos ya establecidos por el Comité de Conciliación  . Cuando se va a realizar una contratación de abogado externo se presenta al Comité de concliación el perfil .</t>
    </r>
    <r>
      <rPr>
        <sz val="12"/>
        <color indexed="10"/>
        <rFont val="Calibri"/>
        <family val="2"/>
      </rPr>
      <t xml:space="preserve"> El objetivo del control es contar con un abogado con experticia en litigio y evitar nulidades y riesgo en defensa judicial. La evidencia es el acta del comité donde la Secretaria General de la entidad indica el cumplimiento de la directriz del Comité de Conciliación</t>
    </r>
  </si>
  <si>
    <t>si se requiere al abogado y de ser el caso, se inicia procedimiento de incumplimiento para la afectación de la garantía, además de la compulsa de copia a las autoridades competentes Consejo Seccional de la Judicatura y ante la Fiscalía General de la Nación</t>
  </si>
  <si>
    <t>Procedimiento de incumplimiento contractual</t>
  </si>
  <si>
    <t>requeirmiento, acta de audiencia de la actuación y decisión de la actuación</t>
  </si>
  <si>
    <t>Secretaría General y Supervisor del Contrato</t>
  </si>
  <si>
    <t>Aprobación de los perfiles de los abogados nuevos por parte del Comité de Conciliación</t>
  </si>
  <si>
    <t>Secretaria General
Comité de Conciliación</t>
  </si>
  <si>
    <t>1. Calidad del operador disciplinario para decidir sobre los procesos disciplinarios.
2. Calidad del disciplinado para ofrecer dádivas u otro tipo de incentivo a la autoridad disciplinaria.</t>
  </si>
  <si>
    <t>RC-14</t>
  </si>
  <si>
    <t>Posibilidad de afectación reputacional debido al ofrecimiento de dádivas u otro tipo de incentivos para obtener como beneficio una decisión favorable en su calidad de investigado, con el fin de beneficio propio o de terceros</t>
  </si>
  <si>
    <t>1. Posibles investigaciones disciplinarias.
2. Posibles investigaciones penales.
3. Impunidad en los procesos disciplinarios.
4. Afectación reputacional de la entidad,</t>
  </si>
  <si>
    <t>Justificar la selección de:
- Periodicidad
- Nivel de ocurrencia
- Área de afectación (nivel)</t>
  </si>
  <si>
    <t>El Jefe de la Oficina de Control Disciplinario Interno, y su profesional de apoyo, informan si por parte de algún investigado se ha realizado alguna solicitud para que se tome una decisión dentro de un proceso disciplinario distinto al cumplimiento del deber funcional.</t>
  </si>
  <si>
    <t>Trimestralmente el Jefe de la Oficina de Control Disciplinario Interno y su profesional de apoyo elaboran un informe donde se evidencia si se ha presentado en alguno de los procesos algún ofrecimiento para la expedición de decisiones contrarias a derecho.</t>
  </si>
  <si>
    <t>Si se identifica que existió un ofrecimiento contrario a derecho por parte del investigado, se compulsarán copias ante la autoridad penal y disciplinariamente de oficio se iniciará la correspondiente investigación.</t>
  </si>
  <si>
    <t>Informe</t>
  </si>
  <si>
    <t>Jefe de Control Disciplinario Interno</t>
  </si>
  <si>
    <t>Presentar informe de actualización de los procesos disciplinarios en el Sistema de Información Distrital SID 3, de carácter anual, presentado ante la Oficina de Asuntos Disciplinarios de la Secretaría Jurídica Distrital.</t>
  </si>
  <si>
    <t>CÓDIGO
FRO-103-642-1</t>
  </si>
  <si>
    <t>VIGENTE DESDE:
31/07/2025</t>
  </si>
  <si>
    <t>1. Desconocimiento sobre gestión de proyectos y procesos.
2. Desarticulación entre el Plan Estratégico, los proyectos y los procesos de la Lotería de Bogotá.
3.Desconocimiento del Plan Estratégico por parte del talento humano de la empresa.
4. Bajos niveles de conocimiento por parte del talento humano para ejecutar los proyectos estratégicos
5. Debilidad en formulación y seguimiento de indicadores estratégicos.
6. Bajo nivel de implementación de acciones correctivas ante el incumplimiento de metas
7.  Mala planeación en la definción de los proyectos y actividades.</t>
  </si>
  <si>
    <t>RE-01</t>
  </si>
  <si>
    <t>Posibilidad de afectación económica y reputacional por incumplimiento del Plan Estratégico debido a desconocimiento sobre gestión de proyectos y procesos</t>
  </si>
  <si>
    <t>1. Perdidas financieras.
2. Ajustes a las metas del plan estratégico
3. Replanteamiento de estrategias y acciones en el plan de acción
4. Planes de mejoramiento
5. Incumplimiento de metas</t>
  </si>
  <si>
    <t>Se escoge periodicidad trimestral debido a que se realizan seguimientos con esta periodicidad, para el nivel de ocurrencia, se toma el sugerido por la Política de Administración del Riesgo de la Lotería de Bogotá.
Frente al impacto, se estableció afectación económica leve, debido a la disminución de ventas, como meta del Plan Estratégico, y afectación reputacional menor, debido a las instancias ante quienes se afectaría la imagen de la Lotería de Bogotá.</t>
  </si>
  <si>
    <t>Trimestralmente el profesional designado de la Oficina Asesora de Planeación verifica el estado general del cumplimiento de cada uno de los objetivos estratégicos y las alertas pertinentes frente a los incumplimientos y desviaciones a través del análisis de cada uno de los indicadores reportados por los líderes de los procesos en un informe consolidado. 
Si se presenta una desviación frente al control, la Oficina Asesora de Planeación genera la alerta respectiva de cumplimiento en el informe de seguimiento a indicadores.
Como soporte de la ejecución del control resultan el cuadro de mando de indicadores, y el informe de seguimiento a indicadores estratégicos y de gestión.</t>
  </si>
  <si>
    <t>Procedimiento Plan Estratégico PRO-332-187</t>
  </si>
  <si>
    <t>Enviar el informe de seguimiento a indicadores a todos los Jefes de área, otorgando un plazo para recibir comentarios, previo a su publicación en página web.</t>
  </si>
  <si>
    <t>Informe de seguimiento a indicadores, y correo electrónico</t>
  </si>
  <si>
    <t>Semestralmente el profesional designado de la Oficina Asesora de Planeación realiza acompañamiento a los líderes de los procesos que soliciten apoyo para efectuar la revisión la matriz de riesgos como parte del ejercicio de dimensionamiento de los objetivos, donde se identifican nuevos riesgos que puedan afectar los objetivos estratégicos de la entidad.
Si se presenta desviación del control, es decir, si se llega a materializar un riesgo, se procederá con lo dispuesto en el Procedimiento Registro Eventos de Riesgo.
Como soporte de la ejecución del control resulta la matriz de riesgos por proceso.</t>
  </si>
  <si>
    <t>Procedimiento Plan Estratégico PRO-332-187
Procedimiento Administración del Riesgo PRO-102-256
Procedimiento Registro Eventos de Riesgo</t>
  </si>
  <si>
    <t>Presentar la matriz de riesgos institucional actualizada por lo menos dos veces al año</t>
  </si>
  <si>
    <t>Matriz de riesgos por proceso</t>
  </si>
  <si>
    <t>1. Desconocimiento del entorno de la empresa
2. Fijar objetivos y metas con poca capacidad de medición y objetividad.
3. Desconocimiento de la normatividad aplicable a la Lotería de Bogotá
4. Desconocimiento de método de reconocido valor técnico para la formulación de la estrategia
5. Entorno y condiciones de mercado cambiantes
6. Desarticulación del Plan Estratégico con el Plan de Desarrollo Distrital</t>
  </si>
  <si>
    <t>RE-02</t>
  </si>
  <si>
    <t>Posibilidad de afectación económica por desconocimiento del entorno de la Lotería de Bogotá al realizar una inadecuada definición de objetivos, recursos y metas estratégicas</t>
  </si>
  <si>
    <t>1. Incumplimiento del Plan Estratégico
2. Baja ejecución presupuestal</t>
  </si>
  <si>
    <t>La definición de metas se realiza de manera anual, y se establece el nivel de ocurrencia en 1, como sugerida por la Política de Administración del Riesgo.
Frente al impacto, se estableció afectación económica leve, debido al cumplimiento del indicador "Nivel de cumplimiento de proyección de ingresos", de igual modo, se estableció afectación reputacional menor, debido a las instancias ante quienes se afectaría la imagen de la Lotería de Bogotá.</t>
  </si>
  <si>
    <t>De manera anual, el Jefe de la Oficina Asesora de Planeación presentará el diagnóstico organizacional ante el Comité Institucional de Gestión y Desempeño para su revisión y/o actualización.
Si se presentan desviaciones, es decir, si se evidencia desactualización del diagnóstico, se procederá a actualizarlo con los líderes de proceso.
Como soporte del control resulta el diagnóstico organizacional actualizado, y el acta del CIGYD donde se presente.</t>
  </si>
  <si>
    <t>Presentar el diagnóstico organizacional, y acta respectiva de presentación ante el Comité Institucional de Gestión y Desempeño</t>
  </si>
  <si>
    <t>Diagnóstico organizacional</t>
  </si>
  <si>
    <t>1. Formular el proyecto de inversión con plazos inadecuados de ejecución
2. Falta de gestión por parte de los responsables de ejecutar el proyecto
3. Falta de seguimiento y generación de alertas oportunas a la ejecución del proyecto</t>
  </si>
  <si>
    <t>RE-03</t>
  </si>
  <si>
    <t>Posibilidad de afectación económica por incumplimiento del proyecto de inversión asociado al Plan Estratégico debido a falta de gestion por parte de los responsables de ejecución</t>
  </si>
  <si>
    <t>Baja ejecución presupuestal
Incumplimiento de metas del Plan Estratégico y del Plan de Desarrollo Distrital
Afectación en la gestión institucional.
Investigaciones disciplinarias y fiscales</t>
  </si>
  <si>
    <t>Se escoge periodicidad mensual debido ha que se realizan seguimientos con esta periodicidad por parte de la Oficina Asesora de Planeación , nivel de ocurrencia en tres, debido a que en la vigencia 2020 se ejecutó el 100% del presupuesto, pero quedaron productos del proyecto pendientes por entregar en la vigencia 2025.
Frente al impacto, se escoge afectación económica menor, debido a que para la vigencia 2025 el presupuesto vigente del proyecto de inversion es de $405.000.000 (MCTE).
Frente a la afectación reputacional, se escoge de acuerdo a las instancias donde se afectaría la imagen de la entidad, en caso de materializarse el riesgo.</t>
  </si>
  <si>
    <t>Trimestralmente el profesional designado de la Oficina Asesora de Planeación verificará el cumplimiento de la ejecución física y presupuestal del proyecto de inversión, con el fin de cumplir las metas establecidas.
Si se presenta una desviación frente al control, la Oficina Asesora de Planeación genera la alerta respectiva de cumplimiento en el informe de seguimiento a proyecto de inversión.
Como soporte de la ejecución del control resulta el informe de seguimiento a proyecto de inversión.</t>
  </si>
  <si>
    <t>Procedimiento PRO332-189-7 Formulación Proyecto de Inversión.</t>
  </si>
  <si>
    <t>Presentar la ejecución del proyecto de inversión trimestralmente en el Comité Institucional de Gestión y Desempeño-</t>
  </si>
  <si>
    <t>Actas del CIGYD
Presentación utilizada en el CIGYD</t>
  </si>
  <si>
    <t>El profesional designado de la Oficina Asesora de Planeación trimestralmente realizará seguimiento a la ejecución del proyecto de inversión en el Sistema de Seguimiento de la Inversión Distrital (SEGPLAN) con el fin de verificar el cumplimiento de las metas formuladas en el proyecto.
Si se presenta una desviación frente al control, la Oficina Asesora de Planeación genera la alerta respectiva de cumplimiento en el informe de seguimiento a proyecto de inversión.
Como soporte de la ejecución del control resulta el informe de seguimiento a proyecto de inversión y el seguimiento registrado en SEGPLAN.</t>
  </si>
  <si>
    <t>Procedimiento PRO332-189-7 Formulación Proyecto de Inversión</t>
  </si>
  <si>
    <t>Realizar seguimiento trimestralmente a la ejecución del proyecto en SEGPLAN</t>
  </si>
  <si>
    <t>Soporte de seguimiento trimestral realizado en SEGPLAN</t>
  </si>
  <si>
    <t>1. Baja cultura de administración del riesgo por parte del talento humano de la empresa
2. Desconocimiento de metodologia de administración del riesgo</t>
  </si>
  <si>
    <t>RP-01</t>
  </si>
  <si>
    <t>Posibilidad de afectación económica, reputacional y de operación debido a que el sistema de administración del riesgo no corresponda a las necesidades de la empresa por debilidades en seguimiento y apropiación de conocimientos en gestión del riesgo.</t>
  </si>
  <si>
    <t>1. Materialización de riesgos
2. Inadecuada identificación y valoración de riesgos
3. Afectación en la operación de la empresa</t>
  </si>
  <si>
    <t xml:space="preserve">Se escoge periodicidad semanal debido a que los riesgos se pueden materializar en cualquier momento de la operación; la afectación es económica, reputacional y de la operación debido a la posible materialización de riesgos </t>
  </si>
  <si>
    <t>El Jefe Oficina Asesora de Planeación verifica, consolida y presenta ante el Comité Institucional de Coordinación de Control Interno la matriz de riesgos institucional de la vigencia, por lo menos una vez al año, a más tardar el 31 de enero, a partir de esta aprobación, la Oficina Asesora de Planeación apoyará a los líderes que soliciten apoyo en la actualización de la matriz de su proceso a lo largo de la vigencia.
Si se presenta desviación sobre el control, es decir, si no se presentan actualizaciones durante el mes de enero para la actualización de la matriz en la nueva vigencia, el Jefe de la Oficina Asesora de Planeación somete para aprobación la matriz de riesgos de la vigencia anterior, entendiéndose que los riesgos y controles continúan vigentes.
Como soporte de la ejecución del control resulta la matriz de riesgos publicada en página web y el acta del CICCI.</t>
  </si>
  <si>
    <t>Presentar para aprobación del CICCI la matriz de riesgos institucional</t>
  </si>
  <si>
    <t>Acta del CICCI</t>
  </si>
  <si>
    <t>El profesional designado de la Oficina Asesora de Planeación bimestralmente, realizará seguimiento al estado de controles, así como de la materialización de riesgos de la organización, a partir de la información reportada por los procesos, con el fin de determinar la efectividad de los controles para evitar la materialización de riesgos.
Si se presenta desviación, es decir, si la Oficina Asesora de Planeación identifica que algún proceso no ha cargado la información pertinente, solicitará al líder del proceso responsable la información.
Como soporte de la ejecución del control resultan los informes bimestrales de seguimiento que realiza la Oficina Asesora de Planeación a las matrices de riesgo.</t>
  </si>
  <si>
    <t>Procedimiento PRO102-256-8 Administración del Riesgo</t>
  </si>
  <si>
    <t>Realizar informes bimestrales de seguimiento a matrices de riesgos</t>
  </si>
  <si>
    <t>Informes de seguimiento a matrices de riesgo</t>
  </si>
  <si>
    <t>El profesional designado de la Oficina Asesora de Planeación, por lo menos una vez al año realizará una capacitación sobre riesgos y evaluará su apropiación mediante un cuestionario de conocimientos dirigida a los funcionarios y contratistas participantes, con el objetivo de fortalecer la cultura de administración del riesgo al interior de la entidad.
Si se detecta una desviación, es decir, si el promedio general de respuestas acertadas en el cuestionario es menor a 70 de 100 puntos posibles, la Oficina Asesora de Planeación socializará mediante correo electrónico institucional la Política de Administración del Riesgo, así como el cuestionario aplicado, con las respuestas correctas para conocimiento de los asistentes.
Como soporte de la ejecución del control resulta el listado de asistencia de la capacitación.</t>
  </si>
  <si>
    <t>N/A</t>
  </si>
  <si>
    <t>Realizar capacitación anual sobre administración del riesgo</t>
  </si>
  <si>
    <t>Listado de asistencia</t>
  </si>
  <si>
    <t>1. Desconocimiento de plazos para presentación de informes
2. Falta de gestión por parte de los líderes de proceso para la presentación de informes.
3. Alto volumen de trabajo que dificulta la elaboración de informes
4. Desactualización de la matriz de comunicaciones de la entidad por posibles cambios normativos y/o regulaciones de los entes externos.</t>
  </si>
  <si>
    <t>RG-01</t>
  </si>
  <si>
    <t xml:space="preserve">Posibilidad de afectación económica y reputacional debido a no presentar, o presentar informes o dar respuesta a requerimientos de entes externos por fuera de los términos establecidos, debido al desconocimiento de plazos para la presentación </t>
  </si>
  <si>
    <t>1. Incumplimiento de plazos ante entes de control.
2. Investigaciones fiscales y/o disciplinarias</t>
  </si>
  <si>
    <t>Se escoge periodicidad mensual, debido a la periodicidad promedio de los informes de la Lotería de Bogotá, se incluye afectación económica y reputacional.</t>
  </si>
  <si>
    <t>El líder del proceso mensualmente verificará los informes que su área deba remitir, mediante la Matriz de Comunicaciones, con el fin de reportar la información en los tiempos previstos por Ley y este a su vez enviará o designará a un miembro de su equipo para enviar un correo electrónico a la Oficina Asesora de Planeación bimestralmente , indicando el cumplimiento de los informes del proceso Evaluación Independiente y Control a la Gestión relacionados en la matriz.
Si se detectan desviaciones en el control, es decir:
1) si se identifica que la información en la matriz de comunicaciones está desactualizada, el líder del proceso o un auditor de su equipo designado, deberá solicitar la actualización ante el área de Comunicaciones y Mercadeo; 
2) Si se identifica incumplimiento de algún reporte en los tiempos previstos, de manera inmediata, el líder del proceso o un auditor de su equipo designado, realizará el reporte de información registrada en la matriz de comunicaciones y diligenciará y enviará los formatos de materialización de riesgos a la Oficina de Planeación Estratégica.
Como evidencia de la ejecución del control, resultan los correos electrónicos bimestrales remitidos por el líder del proceso o un miembro del equipo de trabajo designado, al personal de la Oficina Asesora de Planeación con el reporte de cumplimiento o incumplimiento de los informes contenidos en la matriz de comunicaciones.</t>
  </si>
  <si>
    <t>Presentar en PDF los correo electrónicos enviados a la Oficina Asesora de Planeación de manera bimestral</t>
  </si>
  <si>
    <t>Archivo (s) PDF de los correo electrónicos enviados a la Oficina Asesora de Planeación.</t>
  </si>
  <si>
    <t>Semestralmente, el profesional designado de la Oficina Asesora de Planeación  realizará seguimiento a los informes que se deben publicar en la página web en el botón de transparencia, verificando la oportunidad en divulgación de la información.
Si la Oficina Asesora de Planeación identifica que algún proceso no ha cargado la información pertinente, solicitará al líder de proceso y facilitador responsables la información.
Como soporte del control resulta el instrumento de seguimiento al botón de transparencia que diligencia la Oficina Asesora de Planeación.</t>
  </si>
  <si>
    <t>Política de Transparencia y Acceso a la Información Pública</t>
  </si>
  <si>
    <t>Realizar seguimiento semestralmente al enlace de transparencia</t>
  </si>
  <si>
    <t>Informe de seguimiento a enlace de transparencia</t>
  </si>
  <si>
    <t>1. Convocatoria insuficiente sobre la audiencia pública de rendición de cuentas (no se invitan a todos los segmentos de interés).
2. Falta de interés por parte de las partes interesadas .
3. Canales de comunicación no pertinentes.
4. Falta de planeación y diseño de la estrategia de rendición de cuentas.
5. Falta de divulgación, apropiación y liderazgo por parte de los Jefes de Unidad sobre la estrategia de rendición de cuentas.
6. Falta de asignación de recursos para implementar la estrategia de rendición de cuentas.</t>
  </si>
  <si>
    <t>RG-02</t>
  </si>
  <si>
    <t>Posibilidad de afectación reputacional por incumplimiento de la Estrategia de Rendición de Cuentas y Participación Ciudadana debido a falta de divulgación, apropiación y liderazgo por parte de los Jefes de área sobre la estrategia</t>
  </si>
  <si>
    <t>1. Desconocimiento en la gestion de la entidad.
2. Incumplimiento a la normatividad, y posibles faltas disciplinarias.
3. Baja recepción de aportes o ideas por parte de las partes interesadas para el diseño de estrategias futuras.
4. Informe incompleto</t>
  </si>
  <si>
    <t>La probabilidad se definió de carácter semestral debido a la audiencia pública de rendición de cuentas y el seguimiento semestral a la estrategia, y el nivel de ocurrencia en cero, debido a que el riesgo no se ha materializado.
En caso de materializarse el riesgo, únicamente habría afectación reputacional, se estableció en moderado debido a la imagen afectada de la Lotería de Bogotá, y ante quién se vería afectada dicha imagen.</t>
  </si>
  <si>
    <t>Por lo menos una vez al año, el Jefe de la Oficina Asesora de Planeación verificará y liderará con los líderes de proceso, la formulación de las actividades del Plan de Participación Ciudadana y Rendición de Cuentas, con la finalidad de que este plan se articule a la Estrategia de Participación Ciudadana y Rendición de Cuentas, y de cuenta de los espacios participativos de la entidad.
En caso de presentarse una desviación, es decir, si las áreas responsables no retroalimentan la información del plan, se continuará con las mismas actividades y metas de la vigencia anterior.
Como soporte de la ejecución del control, resulta el Plan de Participación Ciudadana y Rendición de Cuentas aprobado en el Comité Institucional de Gestión y Desempeño.</t>
  </si>
  <si>
    <t>Procedimiento Rendición de Cuentas PRO 332-341-2
Estrategia de Rendición de Cuentas</t>
  </si>
  <si>
    <t>Presentar para aprobación del CIGD el Plan de Participación Ciudadana y Rendición de Cuentas</t>
  </si>
  <si>
    <t>El profesional designado de la Oficina Asesora de Planeación semestralmente debe realizar seguimiento a las actividades definidas en el Plan de Participación Ciudadana y Rendición de Cuentas, mediante el suministro de información de las áreas responsables, con el fin de identificar atrasos u omisiones significativas que puedan afectar el cumplimiento de los espacios participativos.
En caso de detectarse una desviación, la Oficina Asesora de Planeación plasmará las actividades atrasadas en el informe de seguimiento a la Estrategia de Participación Ciudadana y Rendición de Cuentas.
Como soporte de la ejecución del control, resulta el informe semestral de Seguimiento a la Estrategia de Participación Ciudadana y Rendición de Cuentas.</t>
  </si>
  <si>
    <t>Socializar el informe semestral de seguimiento a la Estrategia de Rendición de Cuentas y Participación Ciudadana</t>
  </si>
  <si>
    <t>Transversal</t>
  </si>
  <si>
    <t xml:space="preserve">1. La toma de decisiones de temas asociados al proceso se encuentra concentrados en un único responsable, lo cual impide que se ejecute control sobre las decisiones tomadas
2. Concentración de funciones que pueda interferir con la toma de decisiones del proceso
3. Acceder a presiones u ofrecimientos para que el personal, manipule la información del proceso a efectos de favorecer intereses particulares y/o por conflicto de intereses que puedan beneficiar a un tercero.
4. Posible aplicación inadecuada u omisión de las normas relacionadas con el conflicto de interés.
5. Existe un interés particular de una persona que podría influir en las funciones como servidor público.
6. Existe un interés particular del servidor público que podría influir en sus funciones y obligaciones como servidor público.
7. Tener los documentos físicos almacenados fuera de las instalaciones de la Entidad.
8. No tener claramente definidos e implementados los criterios el control de acceso y consulta de los documentos físicos y electrónicos en el archivo de gestión y archivo central en el proceso
9. Existencia de un interés personal del servidor público o de algún miembro de su familia en alguna situación  en la gestión propia de la entidad para beneficio propio, omitiendo el control al cumplimiento normativo y reglamentario que debe hacerse a la entidad o al cumplimiento de sus funciones.
</t>
  </si>
  <si>
    <t>Posibilidad de afectación económica por conflicto de interés no declarado y/o declarado, pero no gestionado por los responsables que impacte en la toma de decisiones o en el cumplimiento de las funciones y/o actividades del  proceso con el fin de beneficio propio o de un tercero.</t>
  </si>
  <si>
    <t xml:space="preserve">1. Falta de credibilidad en la gestión institucional.
2. Desviaciones en la planeación institucional"
3. Se impacta negativamente el buen nombre del proceso y de la entidad
4. Incumplimiento de la misión de la entidad.
5. Investigaciones disciplinarias.
6. Pérdida de imagen institucional.
7. Incumplimientos a lineamientos internos
8. Incumplimiento de lo establecido en el Código Único Disciplinario y Código de Integridad y Ética
9. Detrimento del patrimonio público
10. Pérdida de la información en cualquier etapa de gestión de los documentos.
11. Desgaste administrativo y reprocesos
12.Sanciones penales, fiscales, disciplinarias y legales.
13. Incumplimiento de las funciones.
14. Investigaciones de los órganos de control.
15. Sanciones de los órganos de control.
</t>
  </si>
  <si>
    <t>Los jefes de Oficina, Dirección y/o Unidades de la Entidad en caso de identificar un posible caso de ocnflicto de interés o que el servidor y/o contratista lo reporte, realizará el monitoreo y seguimiento de conformidad con lo establecido en el procedimiento PRO320-606-2 Gestión de Conflictos de Interés, con el fin de identificar si es de tipo real o aparente y gestionarlo para determinar que no se configure el conflicto de interés.
En caso de que los jefes de Oficina, Dirección y/o Unidades de la Entidad, no puedan gestionar el conflicto de intereses, deberá trasladarlo a la Unidad de Talento Humano para el trámite pertinente.
Como soporte de la ejecución del Control se debe generar un acta entre los involucrados donde se gestionó el conflicto de intereses y en el caso de requerir el traslado a la Unidad de Talento Humano, el soporte será el correo electrónico de envío.</t>
  </si>
  <si>
    <t>Procedimiento PRO320-606 GESTIÓN DE CONFLICTOS DE INTERÉS</t>
  </si>
  <si>
    <t>1. Desconocimiento de los términos de ley para dar repuesta a las PQRS.
2. No tramitar de manera oportuna la respuesta a la PQRS por parte del responsable.
3. Desconocimiento del manejo del Sistema Distrital para la Gestión de Peticiones Ciudadanas - Bogotá te escucha.
4. Falta de oportunidad al momento de la asignación de las PQRS a las áreas responsables.
5. Posibilidad de asignar las PQRS al área equivocada para su gestión por parte del área de Atención al Cliente.</t>
  </si>
  <si>
    <t>RG-18</t>
  </si>
  <si>
    <t>Posibilidad de afectación reputacional por vencimiento de términos en la atención de PQRS debido al desconocimiento de los términos de ley para dar repuesta a las PQRS y el no trámite de manera oportuna la respuesta a las PQRS por parte del responsable.</t>
  </si>
  <si>
    <t>1. Investigación disciplinaria.
2. Generación de tutelas
3. Impacto negativo en la imagen institucional</t>
  </si>
  <si>
    <t>El nivel de ocurrencia por año se eligió teniendo en cuenta las socializaciones y sensibilizaciones sobre la gestión de PQRS de manera trimestral, así como envío de correos recordando sobre oportunidad en gestión de PQRS en los términos de Ley.
Frente al impacto, se definió teniendo en cuenta que la materialización del riesgo afectaría la imagen reputacional del área que no responda de manera oportuna la PQRS.</t>
  </si>
  <si>
    <t>El Jefe de área cada vez que reciba una PQRS para su respectiva gestión, verificará los términos de Ley para dar respuesta a las mismas, con el objetivo de evitar retrasos en la oportunidad del trámite correspondiente.
En caso de la no gestión oportuna en la respuesta a las PQRS, una vez identificada la respuesta fuera de términos de Ley, se responderá de manera inmediata, y se informará sobre la materialización del riesgo a las oficinas de Control Interno y Planeación a través del diligenciamiento de los formatos correspondientes en conjunto con el área de Atención al Cliente, quien remitirá los formatos correspondientes.
Como soporte de la ejecución del control, se contará con las respuestas oportunas a PQRS tramitadas por correo electrónico, SIGA y el Sistema Distrital para la Gestión de Peticiones Ciudadanas - Bogotá Te Escucha.</t>
  </si>
  <si>
    <t>Automático</t>
  </si>
  <si>
    <t>Procedimiento Atención PQR PRO104-207-7
Correos electrónicos enviados por el responsable de Atención al Cliente.</t>
  </si>
  <si>
    <t>1. Desconocimiento en  los indicadores  estratégicos como los definidos en el Acuerdo 108 de 2014 expedido por el CONSEJO NACIONAL DE JUEGOS DE SUERTE Y AZAR    2. Falta de información a la alta gerencia para toma de decisiones e implementación de estrategias que  reviertan el incumplimiento de alguno de los indicadores estratégicos como: indicadores de gestión, eficiencia y rentabilidad.                                                        3. Falta de seguimiento a los indicadores  estratégicos asociados                                             al posible incumplimiento de alguno de ellos (indicadores de gestión, eficiencia y rentabilidad)</t>
  </si>
  <si>
    <t>RE-04</t>
  </si>
  <si>
    <t>Posibilidad de afectación económica y reputacional por incumplimiento de indicadores financieros asociados a la gestión, eficiencia y rentabilidad de la entidad debido a la falta de seguimiento a los mismos.</t>
  </si>
  <si>
    <t>La Oficina Asesora de Planeación Realizará seguimiento trimestral  en el marco del infrome de indicadores y socializará mediante CIGYD con el fin de mostar los resultados e implementar estrategias financieras que mejoren el indicador. Si se encuentran desviaciones que se debe requerir al área financiera con el fin de conocer que rubro sufrió la mayor variación y que ocasionó el incumplimiento de los indicadores estratégicos relacionados con: gestión, eficiencia y rentabilidad.                                                                                                Como soporte de la ejecución del control, informe trimestral y acta de CIGYD</t>
  </si>
  <si>
    <t>Solicitar trimestralmente informe de los indicadores a la Undiad Financiera y contable,  identficar los indicadores incumplidos y llevar a cabo mesa de trabajo con los responsables del incumpliento del indicador, y mediante acta estabelecr compromisos con el fin de implementar un plan de acción para revertir el incumplimiento.</t>
  </si>
  <si>
    <t>INFORME - ACTA MESAS DE TRABAJO CON LOS RESPONSABLES</t>
  </si>
  <si>
    <t xml:space="preserve">1. Desconocimiento del manual de marca.
2. Desconocimiento del manual de comunicacions. 
3. Emitir documentación o piezas sin solicitar la aprobacion del area de Comunicaciones y Mercadeo. </t>
  </si>
  <si>
    <t>RG-03</t>
  </si>
  <si>
    <t>Posibilidad de afectación reputacional por uso incorrecto de la marca corporativa debido al desconocimiento del Manual de Marca.</t>
  </si>
  <si>
    <t>1. Demandas por derechos de autor, uso inapropiada de la marca, uso incorrecto del lenguaje o disciminación a poblaciones.
2. Desfiguracion de la marca y los mensajes.</t>
  </si>
  <si>
    <t>La probabilidad se definió de carácter anual, ya que puede ocurrir en cualquier momento, el nivel de ocurrencia en cero, debido a que el riesgo no se ha materializado.
En caso de materializarse el riesgo, únicamente habría afectación reputacional, se estableció en bajo debido a la imagen afectada de la Lotería de Bogotá, y ante quién se vería afectada dicha imagen.</t>
  </si>
  <si>
    <t>Los profesionales del área de comunicaciones cada vez que la entidad lo requiera deben realizar una revisión y actualización de los documentos:
1. Manual de marca corporativa.
2. Manual de comunicaciones interno y externo.
3. Estrategia de Comunicaciones.
Estos documentos reflejan los lineamientos para el uso, aplicación, correcta difusión y construcción de la marca, una vez sean actualizados estos documentos deben ser socializados a todos los funcionarios de la Lotería y puestos a disposición en la Intranet de la Entidad.
DESVIACIONES:
En el caso que los profesionales de la entidad no puedan realizar la actualización de estos documentos (en caso de requerirse) se contratara este servicio con la agencia de publicidad vigente.
EVIDENCIA:
Manuales y Estrategias actualizados (nueva versión).</t>
  </si>
  <si>
    <t>1. Manual de marca corporativa.
2. Manual de comunicaciones interno y externo.
3. Estrategia de Comunicaciones.</t>
  </si>
  <si>
    <t>Revisar la pertinencias de actualizar los documentos:
1. Manual de marca corporativa.
2. Manual de comunicaciones interno y externo.
3. Estrategia de Comunicaciones.</t>
  </si>
  <si>
    <t>Cada vez que un tercero o un funcionario de nuestra entidad solicite la aprobación de una pieza gráfica o material de merchandising de comunicación bajo la marca Lotería de Bogotá, deberá enviarla por correo electrónico al área de Comunicaciones y Mercadeo. La persona encargada en esta dependencia verificará que cumpla con los lineamientos establecidos en el Manual de Marca y procederá con su respectiva aprobación o solicitará ajustes si fuera necesario. El tiempo máximo para realizar esta revisión será de 5 días hábiles a partir de la recepción del correo electrónico. 
Nota: todas las piezas gráicas y audiovisuales que envié la Agencia de Publicidad, serán aprobadas por el supervisor del contrato. 
DESVIACIÓN:
Que un tercero utilice una pieza gráfica o de merchandising sin la previa revisión y autorización del área de Comunicaciones y Mercado. 
EVIDENCIA:
Correos de solicitud y aprobación por parte del encargado del área de Comunicaciones y Mercadeo y el informe mensual del contrato de la agencia de publicidad donde se encuentra el material aprobado y facturado.</t>
  </si>
  <si>
    <t>Documento metodológico de revisión de piezas de comunicación</t>
  </si>
  <si>
    <t>Revisar y aprobar el material enviado por las areas de la Lotería de Bogotá, asi como el material desarrollado por la agencia de publicidad contratada.</t>
  </si>
  <si>
    <t>Los profesionales del área de Comunicaciones y Mercadeo deben llevar un seguimiento mensual de las alertas generadas por la herramienta Google Alerts, con el fin de detectar menciones negativas tanto de la marca Lotería de Bogotá como de los directivos. Esto permitirá estar al tanto de lo que se comenta en internet sobre la marca y actuar con prontitud ante cualquier información desfavorable proveniente de medios y portales digitales. 
DESVIACIONES: 
Si los profesionales del área no detectan a tiempo una alerta negativa sobre la marca, deberán actuar de manera inmediata para contrarrestar esta información y evitar posibles afectaciones a la reputación de la empresa.
EVIDENCIA: 
Informe mensual de monitoreo de Google Alerts, generado y almacenado en la carpeta del contrato del Community Manager.</t>
  </si>
  <si>
    <t>Informe y/o correos electronicos</t>
  </si>
  <si>
    <t xml:space="preserve">Realizar monitoreo e informe las alertas enviadas por Google Alerts. </t>
  </si>
  <si>
    <t>1. Vocero no autorizado por la entidad para realizar comunicaciones oficiales.
2. Comunicación no aprobada, ni gestionada por el area de Comunicaciones y Mercadeo
3. Vocero no se apega al manual de comuniaciones de la entidad.
4. Desconocimiento de los lineamientos en materia de comunicaciones por parte de algún funcionarios.</t>
  </si>
  <si>
    <t>RG-04</t>
  </si>
  <si>
    <t>Posibilidad de afectación reputacional por gestión inadecuada del mensaje debido a no  hacer uso de los lineamientos del manual de comunicaciones interno y externo de la entidad.</t>
  </si>
  <si>
    <t>1. Crisis de Marca y/o reputación on line.
2. Demandas.
3. Afectar reputación de la marca y los productos de la entidad.
4. Afectar la percepción del servicio.</t>
  </si>
  <si>
    <t xml:space="preserve">El responsable del área de Comunicaciones y Mercadeo llevará a cabo anualmente una capacitación dirigida a los miembros de la subgerencia Comercial y Operativa encargados de gestionar contenido. El objetivo es asegurar que se conozcan y apliquen los lineamientos establecidos en el Manual de Comunicaciones Interno y Externo de la entidad, así como estar al tanto de posibles actualizaciones realizadas en dichos lineamientos. 
DESVIACIONES:
Al no realizarse la capacitación anual, se deberán remitir los manuales del área de Comunicaciones y Mercadeo para el conocimiento de dichos lineamientos por parte de los profesionales que gestionan contenido. 
EVIDENCIA:
Lista de asistencia y acta de capacitación. </t>
  </si>
  <si>
    <t>Manual de comunicaciones interno y externo</t>
  </si>
  <si>
    <t>Ejecutar los lineamientos de comunicación del manual de comunicaciones interno y externo de la entidad.</t>
  </si>
  <si>
    <t>Talento Humano</t>
  </si>
  <si>
    <t>1. Desconocimiento de la ciudadanía respecto de la normatividad existente para la realización de Juegos Promocionales y Rifas.
2. Incumplimiento de los requisitos legales para la realización de Juegos Promocionales y Rifas.</t>
  </si>
  <si>
    <t>RG-05</t>
  </si>
  <si>
    <t>Posibilidad de afectación económica y reputacional de naturaleza pública por la disminución de solicitudes y autorizaciones de juegos promocionales y rifas de competencia de la Lotería de Bogotá a causa del desconocimiento y/o incumplimiento de la normatividad relacionada con los Juegos Promocionales y Rifas</t>
  </si>
  <si>
    <t xml:space="preserve">1. Disminución de los ingresos a la Lotería y transferencias al sector salud.
2. Afectación de la imagen institucional </t>
  </si>
  <si>
    <t>La probabilidad se acogió a lo establecido en la Política de Riesgos de la Lotería, específicamente con la línea base propuesta para los riesgos de periodicidad mensual.
El impacto se calculó teniendo en cuenta el valor girado al sector salud en la vigencia 2022 por concepto de explotación de juegos de suerte y azar, de promocionales y rifas (aproximadamente 500 millones de pesos).</t>
  </si>
  <si>
    <t>El profesional designado de la Unidad de Apuestas y Control de Juegos, mensualmente realiza seguimiento aleatorio a las rifas y juegos promocionales autorizados, y/o donde ofrezcan al público algún juego promocional, con el fin de comprobar el cumplimiento de requisitos.
Si se evidencia incumplimiento de requisitos por parte de algún gestor de rifas y promocionales, el responsable que identificó la situación, informa al Jefe de la Unidad de Apuestas y Control de Juegos, para proceder con el abogado sancionatorio.
Como soporte de la ejecución del control, se realizan las actas de visita administrativas de promocionales y rifas FRO-420-566</t>
  </si>
  <si>
    <t>Procedimiento de supervisión, fiscalización e inspección a gestores de promocionales</t>
  </si>
  <si>
    <t>Diseñar campañas de comunicación anuales para sensibilizar sobre juego ilegal de rifas y promocionales.</t>
  </si>
  <si>
    <t>Unidad de Apuestas y Control de Juegos - Área de Comunicaciones</t>
  </si>
  <si>
    <t>1. Ofrecimiento de dádivas para expedición de la autorización de rifas y juegos promocionales durante el trámite.
2. Coacción de terceros para expedición de autorización.
3. Soportes de documentación incompleta o adulterada para la expedición de la autorización.</t>
  </si>
  <si>
    <t>Posibilidad de afectación  reputacional por expedición de autorización de promocionales y rifas con incumplimiento de requisitos legales con el fin de beneficiar a un tercero.</t>
  </si>
  <si>
    <t xml:space="preserve">1. Proceso sancionatorio
2.Apertura de procesos disciplinarios, fiscales y penales para los responsables involucrados.
</t>
  </si>
  <si>
    <t>Se determina el riesgo de carácter semestral , debido a que nunca se ha materializado, se califica su nivel de ocurrencia en cero.
Frente al impacto reputacional, es leve, según las escalas de valoración del impacto.</t>
  </si>
  <si>
    <t>El profesional  de la Unidad de Apuestas y Control de Juegos designado, cada vez que llega una solicitud de autorización de promocionales y rifas, revisa y evalúa los documentos radicados en la plataforma destinada para tal fin. 
Lo anterior, con el objetivo de verificar la completitud de acuerdo a la normatividad legal vigente y lo expuesto en el respectivo instructivo.
El jefe de Unidad de Apuestas y Control de Juegos validará que la documentación registrada cumple en su integridad con los requisitos estipulados por la ley, para hacer efectivo el acto administrativo de autorización.
Si existen inconsistencias y/o correcciones, el profesional de la Unidad de Apuestas y Control de Juegos designado debe requerir al solicitante la subsanación pertinente, mediante correo electrónico, para cumplir con los tiempos establecidos en la Ley.
Como soporte de la ejecución del control, resulta la plataforma de Juegos Promocionales y Rifas con documentos anexos por parte de los solicitantes, acorde a la matriz lista de chequeo</t>
  </si>
  <si>
    <t>Instructivo solicitud juegos promocionales y rifas
Decreto 1068 de 2015
Decreto 2104 de 2016
Procedimiento autorización y emisión de concepto PRO-420-191-10</t>
  </si>
  <si>
    <t>Diligenciar la matriz de de concepto y autorización, una vez se validen los requisitos legales allegados por el solicitante.</t>
  </si>
  <si>
    <t xml:space="preserve">1. Inexistencia del stock de formularios requeridos.
2. Demoras en la entrega de la firma impresora de los formularios.
3. Demoras o negligencia interna en el trámite administrativo de facturación de formularios.
4. Deterioro de rollos para la oportuna distribución al concesionario </t>
  </si>
  <si>
    <t>RF-01</t>
  </si>
  <si>
    <t xml:space="preserve"> Posibilidad de efecto dañoso sobre recursos públicos por incumplimineto en la entrega de formularios para la opración del chance debido a inexistencia del stcok de formularios requeridos</t>
  </si>
  <si>
    <t>1.Apertura de procesos disciplinarios, fiscales y penales.
2. Disminución de ingresos propios y transferencias al sector salud.
3. Incumplimiento de obligaciones contractuales.</t>
  </si>
  <si>
    <t>Se estableció la periodicidad de carácter semestral, debido a los pedidos y entregas, para el nivel de ocurrencia, se tuvo en cuenta la línea base sugerida por la Política de Administración del Riesgo.
Frente al impacto, se definió afectación económica leve, debido al valor en que incurriría la Lotería de Bogotá en caso de materializarse el riesgo.</t>
  </si>
  <si>
    <t xml:space="preserve">
El profesional designado de la Unidad de Apuestas y control de Juegos por lo menos una vez al semestre visita la bodega de almacenamiento del proovedor impresor para constatar la existencia  stock de de los formularios impresor mediante muestro aleatorio.
Si en la visita se identifica inexistencia y/o insufiencia del stock se documentara en un acta y se informa al supervisor del contrato para que requiera al proovedor impresor. 
Como soporte de la ejuccion del control se cuenta con actas y/o informes de la visita. </t>
  </si>
  <si>
    <t>No documentado</t>
  </si>
  <si>
    <t>Programar una visita al proveedor impresor con el fin de verificar el stock de las existencias de formularios impresos.</t>
  </si>
  <si>
    <t>Jefe Unidad de Apuestas</t>
  </si>
  <si>
    <t>1. Omision de la información por parte del concesionario.
2.  Fallas tecnológicas en el sistema de auditoria propio de la entidad.        
3. La no validacion de la informacion por parte del responsable del sello digital de la entidad concedente.       4.</t>
  </si>
  <si>
    <t>Posibilidad de afectación económica y reputacional por no validacion de la información  reportada por el Concesionario en los derechos de explotación, gastos de administracion, premios prescritos de chance y sus modalidades, premios prescirtos del incentivo con cobro  inmediato con el fin de beneficio propio o de terceros.</t>
  </si>
  <si>
    <t>1. Disminución de recursos para la salud
2.  Procesos sancionatorios, administrativos o judiciales al que diera lugar.
3. Afectación de la credibilidad de la Entidad.</t>
  </si>
  <si>
    <t>Se estableció periodicidad trimestral, nivel de ocurrencia uno, ya que no se cuenta con línea base, afectación económica mayor, teniendo en cuenta la dificultad para cuantificar el mercado ilegal de juegos de suerte y azar, y afectación reputacional moderada, en tanto la imagen de la Lotería se vería afectada con algunos usuarios.</t>
  </si>
  <si>
    <t xml:space="preserve">La unidad Apuestas y control de juegos mensualmente contrasta la informacion remitida por el concesionario de los diferentes formularios de declaracion con la informacion generada en el sistema de auditoria Chanseguro con el fin de soportar la  prevalidacion del supervisor del contrato.     
Si se identificacion inconsistencia en la informaicon constrastada esta se subsanara para su posterior validación, ya sea que se trate de un error en el sistema de auditoria o la información reportada por el consecionario.  
Como sorpote de la ejecuccion del control se remite al concesionario un comunicado con el sello de la prevalidacion de la informacion. </t>
  </si>
  <si>
    <t xml:space="preserve">El responsable designado de la Unidad de Apuestas y control de juegos mensualmente revisa y valida la obligacion Especifica No. 2 del contrato de concesion de apuestas permanentes correspondiente a Derechos de explotacion y este informe es remitido al supervisor del contrato para su respectiva validacion </t>
  </si>
  <si>
    <t xml:space="preserve">Unidad de Apuestas y Control de Juegos. 
Supervisor del contrato de concesion </t>
  </si>
  <si>
    <t>1. Desconocimiento del procedimiento de Planeación y Control Sorteos del Juego.
2. Error humano involuntario en la realización del cronograma del sorteo autorizado.
3, Inasistencia del delegado al sorteo autorizado.
4. Incumplimiento al plan de contingencia de los sorteos autorizados de apuestas permanentes.
5. Fallas tecnológicas de las plataformas que intervienen.</t>
  </si>
  <si>
    <t>RG-06</t>
  </si>
  <si>
    <t>Posibilidad de afectación económica, reputacional y de operación por incurrir en fallas en el proceso de planificación y/o desarrollo del sorteo debido a falta de información frente al sorteo autorizado.</t>
  </si>
  <si>
    <t>1. Realización del sorteo sin cumplimiento del protocolo para su realización.
2. Afectación de la imagen de la Lotería de Bogotá.
3. Suspensión temporal o definitiva a funcionarios de la Lotería de Bogotá, en la participación de los sorteos.
4. Retrasos en la realización del sorteo.
5. Afectación de la credibilidad de la Entidad.
6. Sanciones por parte de los entes de control.</t>
  </si>
  <si>
    <t>Se estableció periodicidad semestral, nivel de ocurrencia uno, ya que no se cuenta con línea base, afectación reputacional menor en caso de insasitencia por parte de los delegados de la Lotería de Bogotá al sorteo autorizado.</t>
  </si>
  <si>
    <t>El profesional  de la Unidad de Apuestas y Control de Juegos designado, mensualmente realiza el cronograma del sorteo autorizado El Dorado, donde verifica que por cada sorteo se cuente con un coordinador y suplente designados.
Lo anterior, teniendo en cuenta las novedades de los funcionarios de la entidad (vacaciones, teletrabajo, incapacidad, permisos, comisiones o sanción por inasistencia a sorteos pasados, por ejemplo), con la finalidad de contar con presencia de la Lotería de Bogotá para cada sorteo autorizado.
Si se presenta desviación del control, es decir, si en el cronograma se identifica que en algún sorteo no se cuenta con coordinador o suplente, el Jefe de la Unidad de Apuestas y Control de Juegos, o el Subgerente Comercial y de Operaciones (como segundo y tercer filtro de revisión), requieren al profesional de la Unidad, para ajustar el cronograma.
Como soporte de la ejecución del control, resulta el cronograma del sorteo autorizado El Dorado firmado por el Subgerente Comercial y de Operaciones.</t>
  </si>
  <si>
    <t>Procedimiento Planeación y Control sorteos del juego de Apuestas Permanentes o Chance - PRO-420-196</t>
  </si>
  <si>
    <t xml:space="preserve">Revisar por lo menos 1 vez al semestre el plan de contigencia y actualizarlo si es necesario. </t>
  </si>
  <si>
    <t>El responsable de la Unidad de Apuestas y Control de Juegos designada, mensualmente revisa las actas del Sorteo autorizado allegadas por el Concesionario, con la finalidad de verificar la asistencia de los delegados de la Lotería de Bogotá a cada uno de los sorteos autorizados.
En caso de identificar la inasistencia de un delegado al sorteo pertinente, se lo requiere para aclarar la causal de inasistencia, en caso de que esta no sea justificada, se procederá a suspender temporal o definitivamente al funcionario como delegado a los sorteos autorizados.
Como soporte del control resultan las actas del Concesionario, y el cronograma del sorteo autorizado, donde se anotan los funcionarios suspendidos, en caso de que hayan.</t>
  </si>
  <si>
    <t>Resolución 042-2021</t>
  </si>
  <si>
    <t>Realizar una capacitación a los trabajadores que  participan como delegados de los sorteos de El Dorado en aspectos como protocolo del sorteo, plan de contingencia y reglamento de Delegados</t>
  </si>
  <si>
    <t>Factor externo</t>
  </si>
  <si>
    <t>Falencias en control de asignación de serie y numeración por parte de la firma impresora.</t>
  </si>
  <si>
    <t>RG-07</t>
  </si>
  <si>
    <t>Posibilidad de afectación económica y reputacional por incurrir en duplicidad de serie y numeración debido a falencias en la asignación por parte de la firma impresora</t>
  </si>
  <si>
    <t>1. Afectación en la transferencia de derechos de explotación, y gastos de administración. 
2. Afectación en el pago potencial del formularui de chance con serie y numeración duplicada.
3. Afectación en transferencia por premios prescritos
4. Posible incidencia administrativa y/o judicial
5. Afectación reputacional de la Lotería de Bogotá</t>
  </si>
  <si>
    <t>Se escoge periodicidad diaria, debido al juego de apuestas permanentes o chance, afectación económica es la menor debido a que no se cuenta con elementos para cuantificar el valor, toda vez que depende de la situación del riesgo (si la duplicidad se presenta en una caja, o un lote, si los formularios salen al mercado, si son premiados, entre otros).</t>
  </si>
  <si>
    <t>Cada vez que se requiera, el Jefe de la Unidad de Apuestas Permanentes y Control de Juegos cita a mesa de trabajo entre la Unidad de Apuestas y Control de Juegos y la firma impresora ante una novedad presentada por el Concesionario con la finalidad de realizar seguimiento a lo observado por el contratista (concesionario).
No aplica decisión sobre desviación, toda vez que la firma impresora tiene la obligación de asistir a las mesas de trabajo.
Como soporte de la ejecución del control resultan actas de las reuniones.</t>
  </si>
  <si>
    <t>Correo enviado por el Jefe de la Unidad para citar a las mesas de trabajo</t>
  </si>
  <si>
    <t>Elaborar protocolo para el cargue, transporte, almacenamiento, entrega y ,manipulación del producto (formularios de chance)</t>
  </si>
  <si>
    <t>Semestralmente, el Jefe de la Unidad de Apuestas y Control de Juegos (supervisor del contrato) debe coordinar visitas a la planta de operaciones del contratista y trimestralmente a bodega, con la finalidad de realizar seguimiento a los puntos de control que dispone la firma impresora, de conformidad con el anexo técnico, para mitigar los defectos de calidad, así como verificar el stock de las bodegas respecto a lo establecido en las obligaciones del contrato (dos meses de producción adelantada), y mirar la logística de empaque y transporte de las cajas.
Como decisión sobre la desviación, es decir, si se encuentran novedades en el marco de las visitas, el Jefe de la Unidad de Apuestas y Control de Juegos comunica mediante radicado de SIGA a los responsables de la firma impresora para implementar las mejoras respectivas.
Como soporte de la ejecución del control resultan los informes de visita.</t>
  </si>
  <si>
    <t>Correo de invitación a la capacitación</t>
  </si>
  <si>
    <t>Realizar visitas a bodegas de Cali, Cota, y a la de GELSA.</t>
  </si>
  <si>
    <t>El líder del proceso mensualmente verificará los informes que su área deba remitir, mediante la Matriz de Comunicaciones, con el fin de reportar la información en los tiempos previstos por Ley y este a su vez enviará o designará a un miembro de su equipo para enviar un correo electrónico a la Oficina Asesora de Planeación bimestralmente , indicando el cumplimiento de los informes del proceso relacionados en la matriz.
Si se detectan desviaciones en el control, es decir:
1) si se identifica que la información en la matriz de comunicaciones está desactualizada, el líder del proceso o un profesional del equipo designado, deberá solicitar la actualización ante el área de Comunicaciones y Mercadeo; 
2) Si se identifica incumplimiento de algún reporte en los tiempos previstos, de manera inmediata, el líder del proceso o un miembro de su equipo designado, realizará el reporte de información registrada en la matriz de comunicaciones y diligenciará y enviará los formatos de materialización de riesgos a la Oficina Asesora de Planeación.
Como evidencia de la ejecución del control, resultan los correos electrónicos bimestrales remitidos por el líder del proceso o un miembro del equipo de trabajo designado, al personal de la Oficina Asesora de Planeación con el reporte de cumplimiento o incumplimiento de los informes contenidos en la matriz de comunicaciones.</t>
  </si>
  <si>
    <t>Procedimiento Matriz de Comunicaciones PRO-104-208</t>
  </si>
  <si>
    <t>1. Una persona no autorizada acceda al aplicativo comercial donde se conserva la información y la extraiga para uso personal</t>
  </si>
  <si>
    <t>RPDP-02</t>
  </si>
  <si>
    <t>Posibilidad de afectacion reputacional por incurrir en fallas en el principio de confidencialidad y seguridad en el tratamiento de los datos personales de los gestores y los ganadores de premios de rifas y promocionales conservados en el aplicativo comercial causado por acceso no autorizado o filtración de esta información por parte de alguno de sus responsables.</t>
  </si>
  <si>
    <t>1. Afectacion de la imagen de la entidad.
2. Posible afectación en la seguridad personal de los ganadores de premios.
2. Apertura de procesos disciplinarios y/o penales para los responsables involucrados.
3. Multas y sanciones por acciones civiles.</t>
  </si>
  <si>
    <t>Frente a la periodicidad, se establecio la periodicidad diaria, debido a que diariamente se puede estar recibiendo información de ganadores de premios, y para el nivel de ocurrencia se utilizó la linea base sugerida en la Política de Administración de Riesgo de la entidad.
Frente al impacto, se estableció la afectación reputacional como catastrófica debido a que la materializacion del riesgo podria conllevar a la afectación de la seguridad del ganador y a la publicación de la noticia en medios masivos nacionales.</t>
  </si>
  <si>
    <t>El jefe de la Unidad de Apuestas y Control de Juegos cada vez que lo requiera solicitará a la Oficina de Gestión Tecnológica e Innovación un reporte de los usuarios que tengan acceso al modulo apuestas permanentes, con el fin de validar que la información de perfiles asignados a su dependencia sea acorde a la obligación y función de su equipo de trabajo.
En caso de detectarse alguna inconsistencia, el Jefe de la Unidad de Apuestas y Control de Juegos le informará al responsable de la Oficina de Gestión Tecnológica e Innovación para que se realice la respectiva corrección.
Como evidencia del control se conservarán los correos de comunicación entre las dependencias.</t>
  </si>
  <si>
    <t>Procedimiento PRO340-241 Administración de usuarios</t>
  </si>
  <si>
    <t>1. Una persona no autorizada solicite la información correspondiente a los ganadores de chance y le sea entregada</t>
  </si>
  <si>
    <t>RPDP-03</t>
  </si>
  <si>
    <t>Posibilidad de afectacion reputacional por incurrir en fallas en el principio de confidencialidad y seguridad en el tratamiento de los datos personales de los ganadores de premios de de apuestas permanentes que se conservan en las bases de datos del concesionario causado por acceso no autorizado o filtración de esta información por parte de alguno de sus responsables.</t>
  </si>
  <si>
    <t>Cada vez que se requiera, el funcionario o contratista que requiera acceso a la información desagregada de CHANSEGURO, solicitará a la Oficina de Gestión Tecnológica e Innovación un archivo con los criterios solicitados. Para poder recibir esta autorización, el servidor o funcionario debe poseer la autorización del supervisor del contrato de concesion o del Gerente General.
Si el responsable de la Oficina de Gestión Tecnológica e Innovación identifica que no se remitió la autorización del supervisot del contrato de concesión o del Gerente General, no brindará el acceso solicitado a la información de CHANSEGURO.
Como evidencia del control se conservan los correos de comunicación con la Ofician de Gestión Tecnológica.</t>
  </si>
  <si>
    <t>N/A.</t>
  </si>
  <si>
    <t>1. Inconsistencias en el reporte de retenidos generado semanalmente.
2. Estados de cuenta incorrectos o desactualizados
3. Seguimiento inadecuado al estado de las pólizas</t>
  </si>
  <si>
    <t>RF-02</t>
  </si>
  <si>
    <t>Posibilidad de efecto dañoso sobre recursos públicos por entrega o retención de billetería a distribuidores sin cumplimiento de requisitos, ocasionada por inoportunidad en los pagos o deficiencias en la validación de garantías.</t>
  </si>
  <si>
    <t>1.Incremento de cartera vencida y pérdida de recursos públicos.
2. Pérdida de garantías en procesos de cobro jurídico.
3.Procesos disciplinarios y hallazgos de entes de control.</t>
  </si>
  <si>
    <t>Se estableció la periodicidad semanal, debido a que la distribución de la billetería se realiza semanalmente.
Frente al impacto, se definió una afectación económica por debajo del 1% del patrimonio de la Lotería de Bogotá (leve), pero la materialización del riesgo conllevaría a una afectación reputacional menor, debido al conocimiento de la Junta Directiva sobre la afectación de la imagen.</t>
  </si>
  <si>
    <t>El profesional de cartera semanalmente realiza una revisión de los reportes de cartera y del estado de las garantías de los distribuidores con el propósito de identificar incumplimientos en los distribuidores para determinar a cuales de ellos se reteniene el despacho de billetería.
Si se detectan desviaciones en el control, los distribuidores con incumplimiento en sus garantías  y/o pagos deben ser retenidos. No se debe realizar el despacho semanal de billetería.
Como soporte de la ejecución del control resultan los memorandos sobre distribución y retención por parte de la Unidad Financiera</t>
  </si>
  <si>
    <t>El profesional de la Dirección de Operación del Producto y Comercialización semanalmente verifica las garantías que se encuentran vencidas con el propósito de identificar incumplimientos en los distribuidores para determinar a cuales de ellos se reteniene el despacho de billetería.
Si se detectan desviaciones en el control, el profesional de la Dirección de Operación de Producto y Comercialización notifica a la Unidad Financiera sobre los distribuidores con incumplimiento en sus garantías  para que sean retenidos.
Como soporte de la ejecución del control resultan los correos electronicos enviados a la Unidad Financiera informando si se encuentra algunos de los distribuidores con las garantías vencidas.</t>
  </si>
  <si>
    <t xml:space="preserve">Correo electrónico sobre los distribuidores que cuentan con las garantías vencidas. </t>
  </si>
  <si>
    <t>Profesional de la  Dirección de Operación del Producto y Comercialización</t>
  </si>
  <si>
    <t xml:space="preserve">1.Ofrecimiento de beneficios por parte de terceros
</t>
  </si>
  <si>
    <t>Posibilidad de afectación económica y reputacional por asignación de cupos a distribuidores con incumplimiento de requisitos con fin de favorecer a un tercero a cambio de beneficios.</t>
  </si>
  <si>
    <t>1. Apertura de procesos disciplinarios
2. Hallazgos de entes de control</t>
  </si>
  <si>
    <t xml:space="preserve">
Se estableció la periodicidad semestral, debido a que la asignación de cupos se realiza aleatoriamente cada vez que llegue un nuevo distribuidor.
Frente al impacto, se definió una afectación económica por debajo del 1% del patrimonio de la Lotería de Bogotá (leve), pero la materialización del riesgo conllevaría a una afectación reputacional menor, debido al conocimiento de la Junta Directiva sobre la afectación de la imagen.</t>
  </si>
  <si>
    <t>Los profesionales designados de la Oficina Jurídica, Oficina de Gestión Tecnológica e Innovación, Unidad Financiera y Contable, y la Dirección de Operación de Producto y Comercialización cada vez que se reciba una nueva solicitud de un distribuidor, verifican los requisitos habilitantes definidos en el procedimiento PRO410-342 Inscripción, registro de distribuidores, y asignación de cupo, con el fin de garantizar que los distribuidores nuevos tengan la capacidad jurídica, financiera, técnica y comercial para distribuir el producto lotería.
En caso de detectarse una desviación, es decir, si se identifica que el solicitante no cumple con los requisitos habilitantes, no se asigna el cupo de billetería, y se le notifica mediante comunicación oficial.
Como soporte de la ejecución del control, se cuenta con el visto bueno de las áreas: Oficina Jurídica, Oficina de Gestión Tecnológica e Innovación, Unidad Financiera y Contable, y la Dirección de Operación de Producto y Comercialización, y el acta del Comité de cupos en el cual se aprueba el cupo.</t>
  </si>
  <si>
    <t>1. Control inadecuado de los premios que llegan a la Lotería para ser leídos</t>
  </si>
  <si>
    <t>RF-03</t>
  </si>
  <si>
    <t>Posibilidad de efecto dañoso sobre recursos públicos por pérdida de billetería durante el proceso de recepción de premios en la Lotería, causada por gestión inadecuada en el control y registro.
Consecuencias.</t>
  </si>
  <si>
    <t>1. Inconsistencias y diferencias en cartera.
2. Investigaciones disciplinarias y judiciales.
3. Radicación de PQRSD y posibles pagos duplicados de billetería.</t>
  </si>
  <si>
    <t>La periodicidad se estableció en diario con un nivel de ocurrencia de 1%, toda vez que la  Dirección de Operación del Producto y Comercialización realiza la lectura de premios todos los días.
Se estableció afectación económica leve, debido a que el monto aproximado en caso de materializarse el riesgo es de 10 millones de pesos; frente a la afectación reputacional, se estableció en leve, debido a que la imagen de la Lotería solo se vería afectada ante los distribuidores.</t>
  </si>
  <si>
    <t xml:space="preserve">El encargo de la  Dirección de Operación del Producto y Comercialización semanalmente recibe los paquetes de premios enviados por los distribuidores a través de la empresa transportadora para lo cual debe verificar la relación de paquetes registrados en la planilla de la transportadora frente a los paquetes de premios físicos recibidos, si todo está correcto el funcionario sella la planilla del transportador.
Si se detectan desviaciones en el control debe registrarse una nota en la planilla respectiva y si existe fisicamente y no en la planilla se  debe abrir el paquete para verificar el contenido del mismo y si es el caso devolverlo inmediatamente al transportador y realizar la anotación en el formato FRO410-30-4
La  de la  Dirección de Operación del Producto y Comercialización solicita a la empresa transportadora que recoja los paquetes donde se identificaron anomalías.
Como soporte de la ejecución del control resultan los correos electronicos enviados a la empresa impresora de billetería y las anotaciones dejadas en el formato FRO410-30-4. en el caso en que se presenten desviaciones. </t>
  </si>
  <si>
    <t>Formato Recibo de premios a distribuidores FRO-410-30</t>
  </si>
  <si>
    <t>Contratista y auxiliar administrativo</t>
  </si>
  <si>
    <t>Los colaboradores de la Dirección de Operación del Producto y Comercialización diariamente ingresan a la dirección con acceso biometrico para lo cual y una vez puesta la huella sobre el lector se coteja el permiso de ingreso con el sistema. 
En caso en presentarse desviaciones y no se pueda ingresar a la Dirección u otro colaborados que no pertenezca a la dirección tenga el acceso biometrico se debe comunicar a Recursos Fisicos para realizar la corrección inmediata. 
Como soporte del control se presenta el Disco duro del CCTV.</t>
  </si>
  <si>
    <t>Disco duro del CCTV</t>
  </si>
  <si>
    <t>Equipo de la  Dirección de Operación del Producto y Comercialización</t>
  </si>
  <si>
    <t>1. Escasa inversión publicitaria
2. Desactualización de los estudios de mercado
3. Poco acceso a la información.
4. Cambio en la normatividad.</t>
  </si>
  <si>
    <t>RG-08</t>
  </si>
  <si>
    <t xml:space="preserve">Posibilidad de afectación económica y reputacional por pérdida de mercado de loterías / menores ventas de Lotería a causa de no tener estrategias comerciales en un plan estructurado.
</t>
  </si>
  <si>
    <t>1. Disminución en las transferencias al sector salud
2. Disminución de la rentabilidad del negocio
3. Disminución y/o ajustes presupuestales a los costos y gastos proyectados</t>
  </si>
  <si>
    <t>Se estableció la periodicidad semanal, debido la periodicidad de los sorteos, y nivel de ocurrencia sugeridad por la Política de Administración del Riesgo, afectación económica moderada, teniendo en cuenta la dificultad para cuantificar el juego ilegal de suerte y azar, así como afectación económica menor</t>
  </si>
  <si>
    <t xml:space="preserve">La Subgerencia Comercial y de Operaciones anualmente debe diseñar un plan comecial y de mercadeo con el apoyo del equipo de profesionales a cargo en el mes de enero de cada vigencia.
Este plan debe contener las estrategias màs apropiadas y viables para el crecimento y sostenimiento del mercado y ventas de la loterìa, estas estrategias debe estar acompañadas de cronograma y los indicadores de gestiòn que permitan realizar el seguimiento respectivo.
En caso de no realizarse en la fecha estipulada se debe realizar una reunión inmediata para elaborarlo. En el caso de ausencia por cualquier motivo de los profesional del area de Comunicaciones y Mercadeo, la entidad deberá designar un reemplazo que realice seguimiento a la ejecución del plan comercial y de mercadeo vigente.
EVIDENCIA:
Carpeta fisica del plan comercial y de mercadeo vigente. 
Como soporte del control se presenta el Plan Comercial y de Mercadeo aprobado. </t>
  </si>
  <si>
    <t>Plan comercial y mercadeo</t>
  </si>
  <si>
    <t>Subgerencia General</t>
  </si>
  <si>
    <t xml:space="preserve">Profesionales de la Subgerencia, Dirección de Operación de Producto y Comercialización de Producto  y el área de comunicaciones y mercadeo mensual deben realizar seguimiento al cumplimiento de las estrategias planteadas en el plan comercial y mercadeo en terminos de ejecución presupuestal, comparando lo ejecutado con lo programado.
En caso de presentarse alguna desviación se debe reportar y sustentar los motivos del porque no realiza o no se cumplen alguna de las estrategias o actividades definidas en el plan. La subgerencia debe tomar decisión frente al atraso o el incumplimiento.
Como soporte del control se presenta la Carpeta del plan comercial y de mercadeo. 
</t>
  </si>
  <si>
    <t>Carpeta del plan comercial y de mercadeo</t>
  </si>
  <si>
    <t xml:space="preserve">La Gerencia y subgerencia debe revisar periodicamente de las variables que afectan el plan de premios y analizar la necesidad de ajustar de acuerdo a los recursos el respectivo plan de premios.
Si la Junta Directiva de la entidad y/o CNJSA realizan observaciones se deberán analizar y si es procedente realizar los ajustes correpondientes y repetir el ciclo.
Como soporte del control se presenta el plan de premios aprobado. </t>
  </si>
  <si>
    <t>Plan de premios aprobado</t>
  </si>
  <si>
    <t>Gerente General
Subgerente General</t>
  </si>
  <si>
    <t>El Director de la Operación del Producto y Comercialización el día después de haber jugado cada sorteo debe elaborar un reporte de ventas el cual debe ser cargado en el POWERBI en donde se realiza el seguimiento de las ventas y se compara con la meta de venta establecida para cada sorteo. 
En caso de presentarse alguna desviación se debe se debe revisar si es necesario cambiar las estrategias y analizar por qué no se cumplieron las metas establecidas
Como soporte del control se presentan los correos enviados por parte del Director de la Operación del Producto y Comercialización y el Power BI actualizado.</t>
  </si>
  <si>
    <t>Reporte semanal de ventas
Power BI</t>
  </si>
  <si>
    <t xml:space="preserve">Subgerente
Director de Operación del Producto y Comercialización. </t>
  </si>
  <si>
    <t>El líder del proceso mensualmente verificará los informes que su área deba remitir, mediante la Matriz de Comunicaciones, con el fin de reportar la información en los tiempos previstos por Ley y este a su vez enviará o designará a un miembro de su equipo para enviar un correo electrónico a la Oficina Asesora de Planeación bimestralmente , indicando el cumplimiento de los informes del proceso relacionados en la matriz.
Si se detectan desviaciones en el control, es decir:
1) si se identifica que la información en la matriz de comunicaciones está desactualizada, el líder del proceso o un profesional del equipo designado, deberá solicitar la actualización ante el área de Comunicaciones y Mercadeo; 
2) Si se identifica incumplimiento de algún reporte en los tiempos previstos, de manera inmediata, el líder del proceso o un auditor de su equipo designado, realizará el reporte de información registrada en la matriz de comunicaciones y diligenciará y enviará los formatos de materialización de riesgos a la Oficina Asesora de Planeación.
Como evidencia de la ejecución del control, resultan los correos electrónicos bimestrales remitidos por el líder del proceso o un miembro del equipo de trabajo designado, al personal de la Oficina Asesora de Planeación con el reporte de cumplimiento o incumplimiento de los informes contenidos en la matriz de comunicaciones.</t>
  </si>
  <si>
    <t>Reportar los informes reportados mensualmente</t>
  </si>
  <si>
    <t>Reporte de informes mensuales</t>
  </si>
  <si>
    <t xml:space="preserve">1. Delincuencia comun </t>
  </si>
  <si>
    <t>RF-04</t>
  </si>
  <si>
    <t>Posibilidad de efecto dañoso sobre recursos públicos por pérdida de billetería derivada de hurto o actos delincuenciales, en el marco del incremento de la inseguridad.</t>
  </si>
  <si>
    <t>1. Disminución de ingresos por ventas de sorteos.
2.Procesos disciplinarios y judiciales.</t>
  </si>
  <si>
    <t>La periodicidad se estableció en diario con un nivel de ocurrencia de 1%, toda vez que la  Dirección de Operación del Producto y Comercialización realiza la distribución de la billetería todos los días. 
Se estableció afectación económica leve, debido a que el monto aproximado de billetes hurtados en caso de materializarse el riesgo es de 10 millones de pesos; frente a la afectación reputacional, se estableció mayor, debido a que la imagen de la Lotería se vería afectada ante el publico apostador.</t>
  </si>
  <si>
    <t xml:space="preserve">El encargado de la  Dirección de Operación del Producto y Comercialización semanalmente realiza el despacho de la billeteria a través de la empresa impresora. La empresa empresa impresora a través de la transportadora asociada realiza el reparto de la misma, la cual  mediante cláusula de contrato, garantiza  a  la Lotería de Bogotá el reembolso en caso de perdida y/o robo de loteria. Si se entrega correctamente la billeteria se genera el archivo de asignación por parte de la empresa impresora para el cargue de la información al aplicativo comercial de la Lotería y de esta manera efectuar el sorteo. 
Si se detectan desviaciones en el control debe realizarse la denuncia sobre el hurto de los billetes, publicar en un diario de circulación a nivel nacional los billeteres objeto de hurto, publicar en la página de la lotería de Bogotá la noticia sobre el hurto de billetes. 
Como soporte de la ejecución del control resulta la denuncia presentada, la publicación en el diario de circulación nacional y la publiación en la página web de la Lotería en el caso en que se presenten desviaciones. </t>
  </si>
  <si>
    <t>Protección de datos personales - Fiscal</t>
  </si>
  <si>
    <t>1. Una persona no autorizada acceda a la carpeta de SharePoint o al aplicativo comercial donde se conserva la información y la extraiga para uso personal</t>
  </si>
  <si>
    <t>RPDP-04</t>
  </si>
  <si>
    <t>Posibilidad de afectacion reputacional por incurrir en fallas en el principio de confidencialidad y seguridad en el tratamiento de los datos personales de los ganadores de premios pagados directamente por la Lotería de Bogotá o de premios superiores a 140 UVT, causado por acceso no autorizado o filtración de esta información por alguno de sus responsables.</t>
  </si>
  <si>
    <t>Frente a la periodicidad, se establecio la periodicidad diaria, debido a que diariamente se puede estar recibiendo información de ganadores de premios, y para el nivel de ocurrencia se utilizó la linea base sugerida en la Política de Administración de Riesgo de la entidad.
Frente al impacto, se estableció la afectación reputacional como catastrófica debido a que la materializacion del riesgo podria conllevar a la afectación de la seguridad del ganador y a la publicación de la noticia en medios masivos nacionales.
Se establecio una afectacion economica de menos del 1% del patrimonio de la Loteria de Bogota, por posibles multas y sanciones.</t>
  </si>
  <si>
    <r>
      <rPr>
        <sz val="10"/>
        <rFont val="Calibri"/>
        <family val="2"/>
      </rPr>
      <t>El jefe de la Dirección de Operación de Productos enviará cada 6 meses o cada vez que se requiera el personal activo suscrito a la Dirección de Operación a la Oficina de Gestión Tecnológica con el fin de que esta oficina revise el reporte de usuarios y valide  que la información de perfiles asignados sea acorde a la obligación y función de su equipo de trabajo.
En caso de detectarse alguna inconsistencia, el Jefe de la Dirección de Operación de Productos se la informará al responsable de la Oficina de Gestión Tecnológica para que se realize la respectiva corrección.
Adicionalmente, el Jefe de la Dirección de Operación de Productos revisará de manera periodica los permisos de la carpeta de SharePoint de su dependencia para identificar si existen usuarios no autorizados con acceso a esta.
Como evidencia del control se conservarán los correos de comunicación entre las dependencias.</t>
    </r>
  </si>
  <si>
    <t xml:space="preserve">1. Transferencias por fuera de los términos legales
2. Información incompleta entregada por parte del concesionario en el momento de las visitas de fiscalización
3. Falta de cumplimiento, alcance y profundidad de los controles de fiscalización
</t>
  </si>
  <si>
    <t>RF-05</t>
  </si>
  <si>
    <t>Posibilidad de efecto dañoso sobre recursos públicos por incumplimiento de las obligaciones contractuales del concesionario de apuestas permanentes, ocasionada por deficiencias en la verificación y seguimiento de la información.</t>
  </si>
  <si>
    <t>1.Liquidación anticipada del contrato.
2. Procesos sancionatorios y hallazgos de entes de control.
3. Reducción de recursos destinados a la salud y a la entidad concedente.</t>
  </si>
  <si>
    <t>Se estableció la periodicidad de carácter mensual, con nivel de ocurrencia de una vez al año, debido a la actualización de una norma que generó dificultades en la interpretación de obligaciones contractuales del concesionario, quien canceló el monto con intereses moratorios.
La afectación económica se establece a partir del valor que dejaría de transferir al año, la Lotería de Bogotá al sector salud. Adicionalmente, se contemplan los gastos de administración y los premios no reclamados generados por la operatividad del contrato.
La afectación reputacional se debe a que se afectaría la misionalidad de la entidad sobre realizar transferencias al sector salud.</t>
  </si>
  <si>
    <r>
      <t>El Profesional designado por el Jefe de la Unidad de Apuestas y Control de Juegos realiza mensualmente visitas presenciales y de forma aleatoria de fiscalización, supervisión e inspección (De acuerdo al cronograma establecido la Unidad) a los puntos de venta físicos del Concesionario con el fin de verificar el cumplimiento de las obligaciones contractuales correspondientes a los puntos de venta. Una vez realizada la visita el designado realiza el correspondiente acto de visita administrativa (</t>
    </r>
    <r>
      <rPr>
        <u/>
        <sz val="11"/>
        <color indexed="8"/>
        <rFont val="Arial"/>
        <family val="2"/>
      </rPr>
      <t>FROXXXX</t>
    </r>
    <r>
      <rPr>
        <sz val="11"/>
        <color indexed="8"/>
        <rFont val="Arial"/>
        <family val="2"/>
      </rPr>
      <t xml:space="preserve">) y el informe de visita. El designado por la Unidad tendrá la  facultad de solicitar los soportes respectivos, y la de inspeccionar visualmente cada aspecto en campo. En caso de encontrar evidencias se debe enviar comunicado con el requerimiento de información.
Como soporte de la ejecución del control, se realizan los informes de fiscalización, supervisión e inspección.
</t>
    </r>
  </si>
  <si>
    <t>Procedimiento control y seguimiento al juego Apuestas Permanentes o Chance PRO-420-194-9</t>
  </si>
  <si>
    <t xml:space="preserve">El designado por la unidad debera programar y realizar visitas aleatorias a los puntos de venta fisicos en los cuales procedera a verificar temas puntuales correspondientes a las ventas, pago de premios y documentacion necesaria para la operacion.   
El designado por la unidad debera programar y realizar trimestralmente la visita al area administrativa del concesionario con el fin de verificar las obligaciones contractuales que requieren de una validacion mas exhaustiva en la cual se solicitara la informacion que corresponda y se analizara en la visita y si es necesario se dejaran compromisos como parte de la visita. 
Como parte del apoyo a la supervision del contrato de concesion, el designado por la unidad elaborara de forma mensual el informe de seguimiento a las obligaciones contractuales, una vez sea cargada la documentación remitida por el Concesionario. </t>
  </si>
  <si>
    <t>Subgerente Comercial y de Operaciones
Unidad de Apuestas permanentes</t>
  </si>
  <si>
    <t>Documento metodológico</t>
  </si>
  <si>
    <t xml:space="preserve">El Profesional designado por el Jefe de la Unidad de Apuestas y Control de Juegos realiza mensualmente un informe de seguimiento a las obligaciones contractuales del contrato de concesión siguiendo el formato FRO330-535-1 , con el fin de validar el cumplimiento a cada una de las obligaciones contractuales (Definidas en el contrato y sus anexos). En caso de encontrar evidencias se debe enviar comunicado con el requerimiento de información.
Como soporte de la ejecución del control, resulta informe mensual de seguimiento al contrato.
</t>
  </si>
  <si>
    <t xml:space="preserve">
El Profesional designado por el Jefe de la Unidad de Apuestas y Control de Juegos realiza de forma trimestal visita a la sede administrativa del Concesionario, con el fin de validar las evidencias del cumplimiento de las obligaciones contractuales que requieren de una segunda revisión, en esta visita se genera un acta de inicio, donde se estipulan los documentos que se van a solicitar durante la visita y un acta de finalización donde se relaciona las evidencias entregadas y los compromisos pactados. En caso de encontrar un incumplimiento se genera un comunicado a la gerencia del concesionario.
Como soporte de la ejecución del control, resultan las actas de inicio y cierre de la visita.</t>
  </si>
  <si>
    <t>1. No realización de visitas de control, inspección y vigilancia.
2. Bajo nivel de operativos de control al juego ilegal
3. Mayor ganancia para los apostadores en el juego ilegal.
4. Debilidades en el proceso judicial penal frente al delito.</t>
  </si>
  <si>
    <t>RG-09</t>
  </si>
  <si>
    <t>Posibilidad de afectación económica y reputacional por aumento del juego ilegal a causa de falta de operativos o disminucion de controles</t>
  </si>
  <si>
    <t>1. Disminución de la credibilidad y transparencia del sector
2. Disminución de las ventas de chance y lotería: Disminución de recursos para la salud.</t>
  </si>
  <si>
    <t>La probabilidad se definió en diario, debido que el riesgo puede presentarse en cualquier momento de una vigencia, y un nivel de ocurrencia del 50% ya que el riesgo se viene materializando, pero no se cuenta con la cifra exacta de materialización, y la línea base que proporciona la Política de Administración del Riesgo es baja en comparación con el riesgo.
Frente al impacto, se estableció afectación económica catastrófica, ya que la cifra de recursos que la Lotería de Bogotá, y por tanto, el sector salud deja de percibir por el juego ilegal supera el 10% del valor del patrimonio de la entidad.
La afectación reputacional es mayor, ya que la imagen de la entidad se afecta a novel distrital y departamental, ya que es donde tiene competencia.</t>
  </si>
  <si>
    <t>El Jefe de la Oficina Jurídica, en cumplimiento de su función de asesorar jurídicamente a la Gerencia General y demás dependencias de la Lotería de Bogotá, es responsable de realizar la validación jurídica de los informes sobre juego ilegal remitidos mensualmente por el Concesionario, conforme a lo establecido en el contrato. Esta validación incluye la verificación de que los procesos penales reportados correspondan efectivamente a la Lotería de Bogotá y de que se esté dando cumplimiento adecuado a cada uno de ellos.
En caso de identificar inconsistencias, omisiones o procesos en los que la Lotería no figure como víctima, el Jefe de la Oficina Jurídica deberá emitir el requerimiento formal al Concesionario solicitando la aclaración o información complementaria correspondiente. Asimismo, debe informar a la entidad sobre los resultados de dicha validación, dejando constancia de las acciones realizadas como parte del seguimiento al informe de acciones contra el juego ilegal.
Este control tiene como propósito garantizar que la gestión misional se adelante dentro del marco legal aplicable, conforme a lo dispuesto en el Manual de Funciones institucional.</t>
  </si>
  <si>
    <t>Informes contra el juego ilegal que presenta el concesionario</t>
  </si>
  <si>
    <t>La Unidad de apuestas Realizara informe de seguimiento a las actividades de lucha contra juego ilegal que es remitido por parte del concesionario.</t>
  </si>
  <si>
    <t xml:space="preserve">Jefe de la Oficina Juridica </t>
  </si>
  <si>
    <t>Informe de seguimiento</t>
  </si>
  <si>
    <t>El Profesional designado por el Jefe de la Unidad de Apuestas y Control de Juegos implementa un cronograma y realiza seguimiento de forma semestral, de capacitaciones sobre juego legal y jornadas de sensibilización dirigido a gestores de juegos promocionales y rifas, así como a autoridades y entidades distritales con el fin de generar cultura de juego legal. 
En caso de presentarse retrasos o incumplimientos se ajusta el cronograma, de acuerdo al presupuesto disponible de publicidad.
Como soporte se llevará un registro de la asistencia a cada una de las actividades realizadas FRO104-382.
El personal designado por el Jefe de la Unidad de Apuestas y Control de Juegos implementa un cronograma y realiza visitas aleatorias a los establecimientos donde fueron autorizados juegos promocionales, con el propósito de verificar el cumplimiento del acto administrativo de autorización. En caso de presentarse inconsistencias, se continua con el procedimiento ADMINISTRATIVO SANCIONATORIO POR LA OPERACION DE JUEGOS DE SUERTE Y AZAR ILEGALES PRO420-192.
Como soporte se realizará Acta de visita administrativa FRO420-566.</t>
  </si>
  <si>
    <t>Política Juego Ilegal</t>
  </si>
  <si>
    <t xml:space="preserve">El designado debera elaborar cronograma para la realizacion de campañas de sensibilizacion del juego legal y responsable, y realizar seguimiento a ejecución de campañas de sensibilización contra juego ilegal a cargo del área de Comunicaciones y Mercadeo.
Por medio de esta unidad se realizaran visitas aleatorias a puntos estrategicos donde se llevan a cabo juegos promocionales como forma de controlar el juego ilegal </t>
  </si>
  <si>
    <t>Unidad de Apuestas y Control de Juegos</t>
  </si>
  <si>
    <t>Conceptualización campañas ejecutadas.</t>
  </si>
  <si>
    <t>El líder del proceso mensualmente verificará los informes que su área deba remitir, mediante la Matriz de Comunicaciones, con el fin de reportar la información y este a su vez enviará o designará a un miembro de su equipo para enviar un correo electrónico a la Oficina Asesora de Planeación bimestralmente , indicando el cumplimiento de los informes del proceso relacionados en la matriz.
Si se detectan desviaciones en el control, es decir:
1) si se identifica que la información en la matriz de comunicaciones está desactualizada, el líder del proceso o un profesional del equipo designado, deberá solicitar la actualización ante el área de Comunicaciones y Mercadeo; 
2) Si se identifica incumplimiento de algún reporte en los tiempos previstos, de manera inmediata, el líder del proceso o un auditor de su equipo designado, realizará el reporte de información registrada en la matriz de comunicaciones y diligenciará y enviará los formatos de materialización de riesgos a la Oficina Asesora de Planeación.
Como evidencia de la ejecución del control, resultan los correos electrónicos bimestrales remitidos por el líder del proceso o un miembro del equipo de trabajo designado, al personal de la Oficina Asesora de Planeación con el reporte de cumplimiento o incumplimiento de los informes contenidos en la matriz de comunicaciones.</t>
  </si>
  <si>
    <t xml:space="preserve">
2. Falta de identificación (conciliación) de la consignación
3. No lectura oportuna de los premios y promocionales reportados por los distribuidores
4. Demoras en la logística de recolección de la billetería premiada en la sede de los distribuidores por parte del operador.
5. Falta de diligencia en los procesos de cobro persuasivo y coactivo.</t>
  </si>
  <si>
    <t>RF-06</t>
  </si>
  <si>
    <t xml:space="preserve">Posibilidad de efecto dañoso sobre recursos públicos por retención de distribuidores debido al registro inoportuno de pagos, premios y promocionales, originada en falencias administrativas y de control.
</t>
  </si>
  <si>
    <t>1.Aumento de retenciones en la entrega de billetería y reducción de días efectivos de venta.
2.Desgaste administrativo por cobros jurídicos.
3.Hallazgos de entes de control.
4.Despacho de billetería a distribuidores en incumplimiento de pago</t>
  </si>
  <si>
    <t>La probabilidad se calculó con todas las semanas del año, ya que el riesgo puede ocurrir semanalmente.
El impactó se calculó teniendo en cuenta que las deudas al finalizar el año son menores al 1% del patrimonio de la Lotería de Bogotá.
Y la materialización del riesgo podría afectar la imagen de la Unidad de Loterías y Unidad Financiera.</t>
  </si>
  <si>
    <t>Semanalmente el Profesional de cartera debe revisar en el aplicativo comercial cada uno de los estados de cuenta de los distribuidores y se retienen los que no hayan dado cumplimiento a lo establecido en el reglamento de Distribuidores vigente, así mismo debe revisar el cargue de premios reconocidos y así identificar qué distribuidores estan en mora o con incumplimientos de requisitos para el despacho, posteriormente se redacta un email con una relación de los distribuidores a ser retenidos el cual se envía  a laDirectora de Operación de producto y comercializaciones con copia al jefe de la Unidad financiera y contable, para que se proceda a la retención respectiva
Como desviación del control aplica retener los morosos y con incumplimiento de garantías.
no autorizar el despacho de billeteria del proximo sorteo, como soporte del contro, resulta el email con la información de distribuidores a retener.</t>
  </si>
  <si>
    <t xml:space="preserve">Procedimiento gestión de cartera PRO.310.244 </t>
  </si>
  <si>
    <t>Adelantar la revisión periódica del procedimiento de gestión de cartera- distribuidores, y actualizar en caso de ser necesario.</t>
  </si>
  <si>
    <t xml:space="preserve">Jefe de la Unidad Financiera y Contable </t>
  </si>
  <si>
    <t xml:space="preserve">Cuadro de retención </t>
  </si>
  <si>
    <t>Diariamente el o la  tesorero (a)  debe descargar los archivos de recaudo del portal de cada banco, estos archivos son remitidos vía correo electrónico al responsable encargado de cargar las consiganciones en  el aplicativo interno, con el fin de verificar qué distribuidores pagaron los o el sorteo para así autorizar el despacho.
Como desviación del control, es decir, cuando la consignación no refleja la identificación correcta del distribuidor, no se autoriza el despacho, hasta que se identifique el distribuidor que realizó efectivamente el pago.
Como soporte del control aplican archivos de consignaciones enviados por Tesorería, y archivos cargados al sistema.</t>
  </si>
  <si>
    <t>Procedimiento gestión de cartera PRO.310.244</t>
  </si>
  <si>
    <t>Unidad Financiera y Contable.</t>
  </si>
  <si>
    <t>Archivos de consignaciones y archivos de carga</t>
  </si>
  <si>
    <t>Diariamente (siempre y cuando hayan distribuidores retenidos), el funcionario encargado de Cartera revisa los distribuidores que se encuentran retenidos, y adelanta la gestión para el pago y el envío del respectivo comprobante, una vez se recibe, se procede a autorizar el despacho mediante email de despacho dirigido a la Dirección de Operaciones y Comercialización de Productos, de lo contrario continúa retenido.
Como desviación del control, si la mora persiste se debe reportar el estado de cuenta a la Dirección de Operaciones y Comercialización de Productos para dar inicio de cobro.
Como soporte del control, resulta el email de despacho dirigido a la Dirección de Operaciones y Comercialización de Productos.</t>
  </si>
  <si>
    <t>El auxiliar de la Dirección de Operaciones y Comercialización de Productos, lee todos los premios y emite un reporte, el cual consolida la totalidad de premios reconocidos al distribuidor. Con este reporte realiza una revisión conjunta con el responsable asignado de cartera con el fin de comparar los premios reconocidos con las autoliquidaciones de cada distribuidor y su estado de cartera.
Como desviación del control, es decir, si se encuentra diferencias en el sorteo al cual se le reconocieron los premios el auxiliar de la Dirección de Operaciones y Comercialización de Productos debe ajustar el reporte de lectura de premios conforme a los criterios establecidos.
Si se encuentra diferencias en los códigos (de los distribuidores) aplicados a los premios se debe realizar los ajustes respectivos por parte del auxiliar de la Dirección de Operaciones y Comercialización de Productos.
Como soporte de la ejecución del control resulta el reporte resumen de relaciones de premios leidos generado por la Dirección de Operaciones y Comercialización de Productos.</t>
  </si>
  <si>
    <t xml:space="preserve">Procedimiento Lectura de premios PRO410-206-9
</t>
  </si>
  <si>
    <t>Jefe Unidad Financiera y Contable - Jefe Unidad de Loterías</t>
  </si>
  <si>
    <t>1. No hacer seguimiento de acuerdos de pago.</t>
  </si>
  <si>
    <t>RF-07</t>
  </si>
  <si>
    <t>Posibilidad de efecto dañoso sobre recursos públicos por incremento de cartera de distribuidores debido al incumplimiento en acuerdos de pago y deficiencia en el seguimiento.</t>
  </si>
  <si>
    <t>1.Desgaste administrativo y mayores costos de gestión.
2.Reducción de transferencias al sector salud.
3.Procesos sancionatorios fiscales, disciplinarios y administrativos.</t>
  </si>
  <si>
    <t>Se definió la periodicidad diaria, y nivel de ocurrencia en cero, debido a que el riesgo no se ha materializado.
Frente al impacto, se estableció en menor, debido a la cuantía de pedidos de los distribuidores, no sobrepasa 1% del patrimonio de la Lotería de Bogotá</t>
  </si>
  <si>
    <t>El contratista o funcionario designado de la Unidad Financiera y Contable semanalmente identifica las consignaciones registradas y determina cual corresponde a pagos de "Acuerdos de Pago" para determinar si se dio cumplimeinto con los Acuerdos.
En caso de presentarse una desviación del control se procede a reportar el incumplineto del Acuerdo de pago a la Dirección de Operación de producto y comercialización con el fin de que se inicie el proceso de cobro por via ejecutiva o administrativa.
Como soporte del control se genera el archivo de cargue de consignaciones o el reporte a la Dirección de OPyC en caso de incumplimiento del Acuerdo de Pago</t>
  </si>
  <si>
    <t>Procedimiento Gestión de Recaudo - Distribuidores</t>
  </si>
  <si>
    <t>Revisar y actualizar el procedimiento de Gestión de Recaudo - Distribuidores en caso de ser necesario
Revisar y actualizar el Reglamento de Distribuidores en caso de ser necesario
Revisar y Actualizar las minutas de los contratos de distribución en caso de ser necesario
Revisar y Actualizar las garantías de lso distribuidores en caso de ser necesario.</t>
  </si>
  <si>
    <t>Jefe Unidad Financiera y Contable
Director de Operaciones
Secretario General
Subgerente General</t>
  </si>
  <si>
    <t>Procedimiento Gestión de Recaudo
Reglamento de Distribuidores
Minuta del Contrato de Distribución
Porcentaje de cubrimiento de las garantías</t>
  </si>
  <si>
    <t>1. No pago de la multa impuesta por la entidad.</t>
  </si>
  <si>
    <t>RF-08</t>
  </si>
  <si>
    <t>Posibilidad de efecto dañoso sobre recursos públicos por incremento de cartera derivada del no pago de multas impuestas por rifas y juegos promocionales, ocasionada por ineficacia en el seguimiento y cobro.</t>
  </si>
  <si>
    <t>Desgaste administrativo en 1.gestión de cobros.
2.Disminución de recursos destinados a la salud.
3.Procesos sancionatorios fiscales, disciplinarios y administrativos.</t>
  </si>
  <si>
    <t>Se estableció periodicidad anual, debido al cierre de cartera, nivel de ocurrencia en 5, debido a que el riesgo se ha materializado, se cuenta actualmente con 7 procesos de cobro coactivo.
Frente al impacto, la afectación económica se establece en menor, debido a que de los procesos con que se cuenta actualmente (son de las vigencias 2018 y 2019), la cuantía es aproximadamente de 100 millones por proceso.</t>
  </si>
  <si>
    <t>Aplicación de instrumentos de cobro persuasivo y coactivo. Responsable:  Para cobro persuasivo son:    Contratista designado Oficina Jurídica, Unidad de Apuestas y Control de Juegos, Una vez informado que pasa a Cobro Coactivo seran responsables: Oficina Jurídica. 
El responsable asignado, una vez recibido el acto administrativo ejecutoriado, adelantará  las acciones de cobro persuasivo (oficios, llamadas, correo electrónico, entre otros), dejando evidencia de ello, informando al deudor sobre el plazo perentorio para el pago de la obligación, e indicando que de no recibirse el pago se dará inicio a las acciones de cobro coactivo</t>
  </si>
  <si>
    <t xml:space="preserve">nose </t>
  </si>
  <si>
    <t>Procedimiento Cobro coactivo PRO-103-229
Procedimiento Cobro persuasivo PRO-103-386</t>
  </si>
  <si>
    <t>Presentar soportes de cobro persuasivo o coactivo</t>
  </si>
  <si>
    <t>Designado por la Oficina Jurídica (Cobro coactivo)</t>
  </si>
  <si>
    <t>Soportes de cobro persuasivo o coactivo</t>
  </si>
  <si>
    <t xml:space="preserve">
Si dentro del proceso de cobro (persuasivo o coactivo), se genera un acuerdo de pago, el responsable asignado, deberá hacer seguimiento a los mismos, coordinando con la Unidad Financiera y Contable el ingreso de los recursos. Si se incumple los términos del acuerdo, se deberá generar el reporte y continuar con el trámite correspondiente. </t>
  </si>
  <si>
    <t>Presentar soportes de seguimiento a pagos</t>
  </si>
  <si>
    <t xml:space="preserve">Profesional designado por la Oficina Jurídica </t>
  </si>
  <si>
    <t>Soportes de seguimiento a pagos</t>
  </si>
  <si>
    <t>Posibilidad de afectación económica y reputacional por despacho a distribuidores sin cumplimiento de requisitos con el fin de beneficio propio o de terceros.</t>
  </si>
  <si>
    <t>1. No tramitar de manera oportuna la respuesta a la PQRS por parte del responsable.
2. Falta de oportunidad al momento de la asignación de las PQRS a las áreas responsables.
3. Posibilidad de asignar las PQRS al área equivocada para su gestión.</t>
  </si>
  <si>
    <t xml:space="preserve"> El responsable de atención al cliente verifica semanalmente en el Sistema Distrital para la Gestión de Peticiones Ciudadanas - Bogotá Te Escucha las fechas de vencimiento de todas las PQRS.  El responsable de Atención al Cliente debe identificar las PQRS proximas a vencer  y envía un correo electrónico al área correspondiente sobre el estado de la PQRS y solicita la pronta gestión al respecto.
En caso de la no gestión oportuna en la respuesta a las PQRS, una vez identificada la respuesta fuera de términos de ley se informa sobre la materialización del riesgo a las oficinas de Control Interno y Planeación a través del diligenciamiento de los formatos correspondientes.
Las evidencias de ejecución del control están plasmadas en los correos de estado de PQRS que se envían semanalmente a los jefes de áreas que son usuarios de las mismas en el Sistema Distrital para la Gestión de Peticiones Ciudadanas - Bogotá Te Escucha.</t>
  </si>
  <si>
    <t xml:space="preserve">Revisar y actualizar en caso de ser pertinente el procedimiento de atención PQRS con el fin de mejorar la descripción y decisiones de desviación en el control de revisión de vencimientos diaria y semanal. </t>
  </si>
  <si>
    <t>Atención al cliente</t>
  </si>
  <si>
    <t>Procedimiento Atención PQR PRO-104-207</t>
  </si>
  <si>
    <t xml:space="preserve">El profesional de la oficina de Atención al Cliente debe socializar trimestralmente mediante correo electrónico institucional el Manual para la Gestion de Peticiones Ciudadanas, a los colaboradores de la entidad dentro de los cuales están los usuarios del Sistema Distrital para la Gestión de Peticiones Ciudadanas - Bogotá Te Escucha encargados al interior de la entidad, de gestionar y tramitar las PQRS que les son asignadas, con el propósito de recordarles los términos de ley para dar a respuesta a las diferentes tipologías de PQRS así como claridad en la gestión de las mismas en el Sistema Distrital para la Gestión de Peticiones Ciudadanas - Bogotá Te Escucha.
En caso de no realizar la socialización del Manual en los tiempos establecidos, se envía y se socializa de manera inmediata para mantener la difusión y comunicación permanente de dicho documento como herramienta para que los usuarios encargadados de dar respuesta a las PQRS lo hagan en cumplimiento de lo establecido en dicho documento y en el correcto uso del Sistema Distrital para la Gestión de Peticiones Ciudadanas - Bogotá Te Escucha.
Como evidencia de ejecución del control están los correos electrónicos trimestrales de socialización </t>
  </si>
  <si>
    <t>Socializar la Política de Atención a la Ciudadanía</t>
  </si>
  <si>
    <t>Políticas del proceso actualizadas</t>
  </si>
  <si>
    <t>Profesional de Atención al Cliente</t>
  </si>
  <si>
    <t xml:space="preserve">1. Ausencia de condiciones de aseguramiento, protección y prevención en los espacios laborales
2. No adopción de medidas de autocuidado y protección laboral
3. Jornadas laborales extensas
4. Riesgos laborales no identificados </t>
  </si>
  <si>
    <t>RF-09</t>
  </si>
  <si>
    <t>Posibilidad de efecto dañoso sobre recursos públicos por incremento de costos derivados de la materialización de riesgos laborales, originados en ausencia de medidas de prevención, protección y autocuidado.</t>
  </si>
  <si>
    <t>1.Ausentismo laboral y menor productividad.
2.Multas y sanciones por incumplimiento normativo.
3. Incremento de pagos por prestaciones asistenciales y económicas.</t>
  </si>
  <si>
    <t xml:space="preserve">Anualmente el Jefe de la unidad de talento humano o profesional de seguridad y salud en el trabajo debe coordinar con la ARL, la permanente actualización de la matriz de identificación de peligros y valoración de riesgos, esta actualización incluye visitas y observaciones en campo con  el propósito de identificar y actualizar las variables asociadas a los diferentes tipos de riesgos, con esta actualización el riesgo es valorado nuevamente y así se definen las acciones o recomendaciones para gestionar el riesgo. 
Si producto del seguimiento se observan incumplimientos significativos en las recomendaciones anteriores o evidencia de situaciones nuevas con una valoración de riesgo Alta estas situaciones deben ser evaluadas por el profesional, quien establecerá acciones de mejora y se debe buscar su ejecución con el acompañamiento del Comité Paritario de seguridad y salud en el trabajo.
El soporte de ejecución de este riesgo será la matriz de identificación de peligros y valoración de riesgos establecida por la entidad.
Nota: Se podrá identificar apoyo de recurso humano a través de prestaciones de servicios o prácticas de estudiantes dependiendo de los recursos asignados.
</t>
  </si>
  <si>
    <t>Documentar y aprobar los métodos y criterios para gestionar el panorama de riesgos laborales en la Lotería.</t>
  </si>
  <si>
    <t>Unidad de Talento Humano</t>
  </si>
  <si>
    <t xml:space="preserve">Cada vez que ocurra un incidente o accidente de trabajo el servidor  involucrado en el accidente debe reportar verbalmente al Jefe inmediato, si se requiere, se realiza la  atención de primeros auxilios y se comunica a la Unidad de Talento Humano - Profesional de Seguridad y Salud en el Trabajo, para que este colaborador registre el incidente y/o accidente laboral, inicialmente vía telefónica con la ARL,  con el fin de determinar el lugar de asistencia médica al que debe dirigirse el servidor.  Posteriormente se realiza el registro a través de la página de la ARL FURAT, dentro de los dos ( 2) días hábiles posteriores al evento.
El COPASST tiene quince (15) días para realizar la investigación respectiva del accidente o incidente laboral.  Dependiendo del análisis de causas del incidente o accidente, el grupo responsable de la investigación debe identificar y definir las recomendaciones pertinentes.  
Para los casos en que no se realice el debido registro en la página de la ARL FURAT y no se haga la investigación correspondiente, el Profesional de Seguridad y Salud en el Trabajo, deberá realizar el registro de manera física.
Nota: La omisión del reporte genera afectación al servidor en la no atención medica requerida con la ARL.
Nota:  El registro y soportes de investigación del incidente y/o accidente deberán estar en el archivo de la Unidad de talento Humano de manera física.
el soporte de ejecución de este riesgo será el registro en la página de la ARL FURAT y los soportes de investigación en archivo de la Unidad de talento Humano de manera física.
</t>
  </si>
  <si>
    <t xml:space="preserve">Semestralmente, la Unidad de Talento Humano - Profesional de Seguridad y Salud deberá generar reporte de accidentalidad por medio del portal de la ARL, y analizar las cifras en términos de variación, frecuencia y volumen.  De igual manera, se debe realizar análisis de Incapacidades, teniendo en cuenta las variables de frecuencia, Áreas y funcionarios involucrados y causas. esto con el fin de realizar acciones de intervención que mitiguen el riesgo.
En caso de no realizar los analisis correspondientes, las acciones de intervención no tendrán impacto en los indicadores de accidentalidad e incapacidades.
Los soportes de control de la ejecución son los reportes de accidentalidad  e informes de analisis  de accidentalidad y de incapacidades.
</t>
  </si>
  <si>
    <t>Generar campañas de capacitación y sensibilización sobre las practicas seguras frente a los riesgos laborales identificados.</t>
  </si>
  <si>
    <t>Listas de asistencia
Material de capacitación</t>
  </si>
  <si>
    <t>1. Falta de comunicación vertical y horizontal
2. Falta de reconocimiento
3. Estrés laboral
4. Falta de Motivación
5. Espacio físico no apto para el desempeño de las labores
6. Jornadas de capacitación inadecuadas a las necesidades de los servidores públicos.</t>
  </si>
  <si>
    <t>RG-11</t>
  </si>
  <si>
    <t>Posibilidad de afectación reputacional por contar con clima organizacional o laboral en niveles inadecuados debido a falta de ejecución del plan de acción de medición del clima laboral.</t>
  </si>
  <si>
    <t>1. Ausentismo laboral
2. Ineficiente gestión del tiempo
3. Retraso en la realización de tareas
4. Resistencia a los cambios institucionales</t>
  </si>
  <si>
    <t xml:space="preserve">Para la elaboración anual del plan de capacitación, el jefe de la unidad de Talento Humano debe identificar y consolidar informe de las necesidades de capacitación de los servidores de cada una de las áreas funcionales, este informe servirá como insumo para proyectar el plan de capacitaciones, el cual deberá ser revisado y aprobado por el Comité Institucional de Gestión y Desempeño. 
De igual manera, para la elaboración del Plan de bienestar, el jefe de la unidad de Talento Humano debe identificar y consolidar informe de las necesidades y expectativas de bienestar que tengan los servidores de cada una de las áreas funcionales, este informe servirá como insumo para proyectar el plan de bienestar, el cual deberá ser revisado y aprobado por el Comité de Bienestar institucional.
Una vez aprobados los planes de Capacitación y de bienestar se deben socializar y publicar en la página Web de la entidad, esta publicación debe realizarse antes del 28 de febrero de cada vigencia.
Nota: La aprobación de los planes de Capacitación y Bienestar de la vigencia, estarán sujetos a la pertinencia, alcance y cubrimiento de cada necesidad y al tope de recursos asignados.
Cada una de las necesidades identificadas deben ser justificadas con el fin de analizar su viabilidad. Así mismo se deben justificar los rechazos o ajustes a las necesidades.
Los soportes de ejecución de este control son informes de necesidades establecidas, planes de capacitación y bienestar aprobados y publicados en la página Web de la Entidad.
</t>
  </si>
  <si>
    <t>Procedimiento Capacitación y formación PRO.320.223
Procedimeinto gestión de calidad de vida laboral PRO.320.224</t>
  </si>
  <si>
    <t>Revisar el procedimiento de capacitación y formación con el fin de deteminar si es necesario realizar ajustes.  Así mismo revisar el procedimiento de  inducción PRO.320.219</t>
  </si>
  <si>
    <t>Jefe Unidad de Talento Humano</t>
  </si>
  <si>
    <t>Procedimeinto actualizado</t>
  </si>
  <si>
    <r>
      <t>El Jefe de Talento Humano debe realizar el respectivo proceso de inducción a cada una de las personas nuevas que ingresan como servidores públicos de la Lotería, esta inducción debe incluir todas las políticas establecidas por la empresa y cumplir con los lineamientos y temas relacionados con la entidad y el puesto de trabajo. El material y contenido de la inducción debe permanecer actualizado de forma permanente.
La inducción de los contratistas estará a cargo de los supervisores de contratos y debe incluir todas las políticas establecidas por la empresa y cumplir con los lineamientos y temas relacionados con la entidad y el contrato en ejecución.</t>
    </r>
    <r>
      <rPr>
        <b/>
        <sz val="10"/>
        <color indexed="10"/>
        <rFont val="Calibri"/>
        <family val="2"/>
      </rPr>
      <t xml:space="preserve"> EN CASO DE QUE NO SE REALIZE LA INDUCCION INCIIAL SE enviará el material correspondiente para su estudio y se aplicará evaluación, también anualmente de manera transversal se raliza proceso de inducción y reinducción sobre aspectos generales de la entidad.</t>
    </r>
    <r>
      <rPr>
        <sz val="10"/>
        <color indexed="10"/>
        <rFont val="Calibri"/>
        <family val="2"/>
      </rPr>
      <t xml:space="preserve">
De igual manera la entidad realizara proceso de reinducción como mínimo cada dos años a todos los servidores públicos y contratistas.
Los soportes de la ejecución de este control son la presentación de la inducción y el registro de asistencia a la inducción.
</t>
    </r>
  </si>
  <si>
    <t xml:space="preserve">Procedimiento de inducción PRO.320.219
</t>
  </si>
  <si>
    <t xml:space="preserve">Definir y documentar los lineamientos internos que debe seguir cada funcionario para tramitar quejas de acoso laboral. Resolucion 652 de 212. </t>
  </si>
  <si>
    <t>Unidad de Talento Humano
Atención al Cliente</t>
  </si>
  <si>
    <t>Documento metodológico
Procedimiento actualizado</t>
  </si>
  <si>
    <t xml:space="preserve">En el segundo semestre del año, el Jefe de la Unidad de Talento Humano debe coordinar la medición del clima organizacional, según meta establecida en el Plan estratégico,  la cual se realizará a través de la aplicación de encuestas de clima organizacional, con el fin de identificar y analizar los factores y/o variables  que impactan el clima organizacional  de la empresa, y determinar en caso de requerirse plan de mejora.
En caso de no realizarse la medición de clima organizacional desde la oficina de talento humano, se realizará la aplicación de la encuesta a través de la herramienta del DASCD.
Los soportes de la ejecución de este control son resultados de la aplicación de la encuesta, informe de análisis y plan de mejora en caso de requerirse.
</t>
  </si>
  <si>
    <t xml:space="preserve">Procedimiento gestion de calidad de vida laboral PRO.320.224
</t>
  </si>
  <si>
    <t>Realizar capacitación sobre inducción y reinducción-</t>
  </si>
  <si>
    <t>Soportes capacitación</t>
  </si>
  <si>
    <t xml:space="preserve">Anualmente la jefe de la Unidad de Talento humano, realizará la gestión pertinente para establecer el Comité de Convivencia, como un mecanismo que contribuya a la  prevención y solución de las situaciones causadas por conductas de acoso laboral, que genere conciencia colectiva, promueva el trabajo en condiciones dignas y justas y la a armonía y el buen ambiente ocupacional para todos los servidores; todo esto siempre en mejora del clima organizacional de la empresa.
Semestralmente el comité debe reunirse con el propósito de analizar y superar la presuntas conductas de acoso laboral.
En caso de no establecer el Comité de Convivencia la institución puede incurrir es riesgos de tipo legal.
Los soportes de control de ejecución son acto administrativo que faculta al comité de convivencia y actas de reuniones del comité de convivencia.
</t>
  </si>
  <si>
    <t xml:space="preserve">Resolución 652 de 2012
</t>
  </si>
  <si>
    <t>Realizar la elección de Comité de Convivencia Laboral.</t>
  </si>
  <si>
    <t>Unidad de Talento Humano - Gerencia General</t>
  </si>
  <si>
    <t>Acta de constitución del Comité.</t>
  </si>
  <si>
    <r>
      <t>Cada dos años, la Jefe de la Unidad de Talento Humano, realizará seguimiento al cumplimiento de los planes de mejoramiento resultados de la medición de clima laboral, consolida informe y lo socializa en el Comité Institucional de Gestión y Desempeño</t>
    </r>
    <r>
      <rPr>
        <sz val="10"/>
        <rFont val="Calibri"/>
        <family val="2"/>
      </rPr>
      <t xml:space="preserve"> con el fin de determinar posibkes desviaciones y acciones preventicas y/po correctivas frente a las mismas.
En caso de no ser ejecutado el Plan de mejoramiento acorde a lo programado, se realiza la reprogramación del mismo.
Los soportes de la ejecución son el informe de seguimiento al plan de mejora resultado del clima organizacional y su socialización.
</t>
    </r>
  </si>
  <si>
    <t>Realizar seguimiento al Plan de mejoramiento del Clima Laboral</t>
  </si>
  <si>
    <t>Seguimiento plan de mejoramiento Clima Laboral</t>
  </si>
  <si>
    <t>1. Falta de una planificacion y programación de las actividades de inducción, reinducción y entrenamiento.
2. Inasistencia de los funcionarios a las actividades de inducción y reinducción.
3. Poca disposición de tiempo para las actividades de entrenamiento y empalme</t>
  </si>
  <si>
    <t>RG-12</t>
  </si>
  <si>
    <t>Posibilidad de afectación económica por bajos niveles de inducción y entrenamiento del personal en el cargo debido a falta de planificacion y programación de las actividades de inducción, reinducción y</t>
  </si>
  <si>
    <t>1. Desconocimento de procesos, procedimientos, funciones y actividades
2. Procesos disciplinarios
3. Errores en el desarrollo de las tareas
4. Retrasos en la ejecución de tareas y entrega de información
5. Reprocesos administrativos.
6. Desactualización de los servidores en asuntos materia de su empleo</t>
  </si>
  <si>
    <t>Se estableció la periodicidad en semestral, debido a lo observado en traslados de personal, para el nivel de ocurrencia, se toma la sugerida por la Política de Administración del Riesgo.
Frente al impacto, la afectación económica es leve, debido al valor en que incurriría la Lotería de Bogotá en caso de materializarse el riesgo.</t>
  </si>
  <si>
    <r>
      <t xml:space="preserve">El Jefe de Talento Humano debe realizar el respectivo proceso de inducción a cada una de las personas nuevas que ingresan como servidores públicos de la Lotería, esta inducción debe incluir todas las políticas establecidas por la empresa y cumplir con los lineamientos y temas relacionados con la entidad y el puesto de trabajo. El material y contenido de la inducción debe permanecer actualizado de forma permanente.
La inducción de los contratistas estará a cargo de los supervisores de contratos y debe incluir todas las políticas establecidas por la empresa y cumplir con los lineamientos y temas relacionados con la entidad y el contrato en ejecución.
De igual manera la entidad realizara proceso de reinducción como mínimo cada dos años a todos los servidores públicos y contratistas., </t>
    </r>
    <r>
      <rPr>
        <b/>
        <sz val="10"/>
        <color indexed="10"/>
        <rFont val="Calibri"/>
        <family val="2"/>
      </rPr>
      <t>EN CASO DE QUE NO SE REALIZE LA INDUCCION INCIIAL SE enviará el material correspondiente para su estudio y se aplicará evaluación, también anualmente de manera transversal se raliza proceso de inducción y reinducción sobre aspectos generales de la entidad.</t>
    </r>
    <r>
      <rPr>
        <sz val="10"/>
        <color indexed="10"/>
        <rFont val="Calibri"/>
        <family val="2"/>
      </rPr>
      <t xml:space="preserve">
Los soportes de la ejecución de este control son la presentación de la inducción y el registro de asistencia a la inducción.
</t>
    </r>
  </si>
  <si>
    <t>Procedimiento de inducción PRO-320-219.</t>
  </si>
  <si>
    <t>Realizar la jornada de reinducción.</t>
  </si>
  <si>
    <t>Documento de reinducción
Listados de asistencia</t>
  </si>
  <si>
    <t>Para la elaboración anual del plan de capacitación, el jefe de la unidad de Talento Humano debe identificar y consolidar informe de las necesidades de capacitación de los servidores de cada una de las áreas funcionales, este informe servirá como insumo para proyectar el plan de capacitaciones, el cual deberá ser revisado y aprobado por el Comité Institucional de Gestión y Desempeño. 
Una vez aprobado el plan de Capacitación se deben socializar y publicar en la página Web de la entidad, esta publicación debe realizarse antes del 28 de febrero de cada vigencia.
Nota: La aprobación del plan de Capacitación de la vigencia, estarán sujetos a la pertinencia, alcance y cubrimiento de cada necesidad y al tope de recursos asignados.
Cada una de las necesidades identificadas deben ser justificadas con el fin de analizar su viabilidad. Así mismo se deben justificar los rechazos o ajustes a las necesidades.
Los soportes de ejecución de este control son informes de necesidades establecidas, planes de capacitación y bienestar aprobados y publicados en la página Web de la Entidad.</t>
  </si>
  <si>
    <t>Procedimiento Capacitación y formación PRO.320.223</t>
  </si>
  <si>
    <t>Formular y ejecutar el Plan Institucional de Capacitación</t>
  </si>
  <si>
    <t>Plan Institucional de Capacitación
Listados de Asistencia
Correos de convocatoria a capacitaciones</t>
  </si>
  <si>
    <t xml:space="preserve">La jefe de talento Humano deberá realizar entrega del manual de funciones a los servidores públicos nuevos y el Jefe inmediato o a quien delegue, debe realizar un entrenamiento en el puesto de trabajo del servidor público.  
Adicionalmente, el servidor público deberá suscribir acta de entrega del cargo, de acuerdo con lo establecido en el procedimiento “Desvinculación de Personal”, esta acta deberá ser archivada en la carpeta Hoja de vida del Servidor público desvinculado.
En caso de que el servidor público no suscriba acta de entrega del cargo, la entidad no podrá generar Paz y Salvo FRO 320-65-2.
Los soportes de la ejecución del control son acta de entrenamiento, acta de entrega del cargo archivada en la hoja de vida de los servidores públicos desvinculados.
</t>
  </si>
  <si>
    <t>Acta de entrega del cargo</t>
  </si>
  <si>
    <t>Realizar entrega de cargo a funcionarios que asuman un nuevo cargo y entregar acta de entrega a Unidad de Talento Humano</t>
  </si>
  <si>
    <t>Funcionario que entrega el cargo</t>
  </si>
  <si>
    <t>1. Falta de planeación de las actividades programadas
2. Inasistencia de los servidores a las capacitaciones programadas</t>
  </si>
  <si>
    <t>RG-13</t>
  </si>
  <si>
    <t>Posibilidad de afectación económica y reputacional por inadecuada cobertura y pertinencia de los planes de capacitación y bienestar debido a fallas en la planeación de las actividades programadas e inasistencia del público objetivo.</t>
  </si>
  <si>
    <t>1. Desactualización de los servidores en asuntos materia de su empleo
2. Procesos disciplinarios</t>
  </si>
  <si>
    <t>Procedimiento Capacitación y formación PRO.320.223
Procedimiento gestión de calidad de vida laboral PRO.320.224</t>
  </si>
  <si>
    <r>
      <t>El jefe de la unidad de Talento Humano, realizara seguimiento trimestral a la ejecución de los planes de capacitación y bienestar  a través de los indicadores de desempeño con el fin de determianr posibles desviaciones y establecer acciones de mejoramiento preventivas o correctivas, a fin de asegurar su correcta ejecución.</t>
    </r>
    <r>
      <rPr>
        <sz val="10"/>
        <rFont val="Calibri"/>
        <family val="2"/>
      </rPr>
      <t xml:space="preserve">
Actividad, tiempo, cobertura de funcionarios y unidades o áreas, de acuerdo con la metodología establecida por la Oficina Asesora de Planeación.
En caso de incumplimiento El Comité de Bienestar, reprograma aquellas actividades que no se han realizado. Y se evalúa la viabilidad de correcciones en el tema de cobertura
Los soportes de ejecución de este control son los seguimiento a los planes de capacitación y bienestar de la vigencia.
</t>
    </r>
  </si>
  <si>
    <t>Procedimiento Capacitación y formación PRO.320.223
Ficha técnica de los indicadores de desempeño.
Tablero de indicadores de desempeño.</t>
  </si>
  <si>
    <t>Verificar la ejecución de lo definido en los planes de capacitación y bienestar  a través de los indicadores de desempeño.</t>
  </si>
  <si>
    <t>Seguimiento realizado</t>
  </si>
  <si>
    <t>1. Herramientas tecnológicas con problemas de parametrización y desarrollo.
2. Falta de conocimiento técnico por parte del personal que interviene.
3. Falta de controles y parámetros dispersos para detectar desviaciones de la herramienta tecnológica en la liquidación de novedades.
4. Interpretación errónea de la norma aplicable a las modalidades de empleados en la elaboración de nómina</t>
  </si>
  <si>
    <t>RF-10</t>
  </si>
  <si>
    <t>Posibilidad de efecto dañoso sobre recursos públicos por inconsistencias en la liquidación de nómina, derivadas de errores técnicos o humanos en los procesos de registro y control.</t>
  </si>
  <si>
    <t>1. Pagos erróneos de nómina y reprocesos administrativos.
2. Incumplimiento en aportes a seguridad social y parafiscales.
3.Pago de intereses por mora.</t>
  </si>
  <si>
    <t>La probabilidad se definió de carácter mensual por el pago de la nómina, y debido a que el riesgo no se materializó en la vigencia 2020, se estableció un nivel de ocurrencia en cero.
Frente al impacto, el pago de intereses de mora es mucho menor al 1% del patrimonio de la Lotería de Bogotá, por tanto es de carácter leve.</t>
  </si>
  <si>
    <t xml:space="preserve">El Profesional de nómina, cinco días hábiles de anticipación a la liquidación de la nómina,  debe crear en el módulo de Talento Humano/ nómina, del aplicativo administrativo y financiero, el periodo de la nómina a construir, con esto debe ingresar todas las novedades reportadas y así liquidar la pre nómina. Debe revisar si todas las novedades están incluidas, si está liquidando todos los conceptos de nómina, si está completa con todos los funcionarios y verificar los cálculos de las novedades excepcionales. 
Antes del cierre el Jefe de la unidad de Talento humano debe revisar (novedades incluidas, cálculos aleatorios de novedades excepcionales). 
Después de la revisión por parte del Jefe de la Unidad de Talento Humano, la Secretaría General revisa la pre nómina, y una vez revisada, el Jefe de la Unidad de TH procede a efectuar el cierre.
En caso de que el módulo nómina del aplicativo administrativo y financiero, no esté realizando la liquidación de la nómina,  conforme con las novedades y términos establecidos por la normativa, la Jefe de talento Humano o quien delegue debe solicitar soporte de las inconsistencias a la mesa de ayuda.
Los soportes de ejecución de este control son:  revisiones realizadas a Pre nóminas, soportes de novedades, solicitudes realizadas vía correos electrónicos,  a la mesa de ayudas con inconsistencias.
</t>
  </si>
  <si>
    <t>Procedimiento liquidación nómina PRO.320-221-8.
Procedimiento Incapacidades
Base de datos de nómina en el aplicativo.
Reporte individual de nómina.</t>
  </si>
  <si>
    <t xml:space="preserve">El Jefe de Talento Humano o quien delegue, previa validación de la nómina, envía para revisión de la Secretaría General la prenómina con los soportes correspondientes (vía correo electrónico).
Si la Secretaría General solicita algún ajuste frente a la prenómina, el responsable de la Unidad de Talento Humano valida, y ajusta, luego envía de nuevo la prenómina a la Secretaría General, previa validación por parte del Jefe de la Unidad de Talento Humano
Los soportes de ejecución de este control son:  revisiones realizadas a Pre nóminas, soportes de novedades, envío correo electrónico de la prenomina para revisión de la Secretaria General.
</t>
  </si>
  <si>
    <t>El profesional de nómina, en conjunto con el Jefe de la Unidad de Talento Humano, semestralmente revisarán la oportunidad de actualizar el Manual de Nómina con el fin de prevenir interpretaciones erróneas de la norma en la liquidación de nómina, mediante la actualización normativa y procedimental.
Si se identifica desactualización del manual por expedición de nueva normativa, se procederá a actualizarlo y presentarlo al CIGYD para su aprobación.
Como soporte de la ejecución del control, se contará con las actas de reunión, y el manual actualizado en caso de ser necesario.</t>
  </si>
  <si>
    <t xml:space="preserve">El responsable de expedición de certificados proyecta el documento de acuerdo con lo solicitado por el servidor público, posteriormente lo entrega al Jefe de talento Humano, con el fin de que este sea validado de acuerdo con los lineamientos y el requerimiento, una vez es validado se firma por parte del Jefe de Talento Humano y se envía vía correo electrónico o se entrega directamente al servidor público que realizó la solicitud.
En caso de que la certificación expedida no cumpla con los lineamientos y/o lo requerido por parte del servidor público, esta se entrega al responsable de la expedición para que se ajuste de acuerdo con los lineamientos y/o requerimiento.
Los soportes de ejecución de este control son: Formato de solicitud y certificados firmados y enviados
</t>
  </si>
  <si>
    <t>Documentar el proceso de expedición de certificados laborales.</t>
  </si>
  <si>
    <t>Documentación generada</t>
  </si>
  <si>
    <t xml:space="preserve">El responsable de la Unidad de Talento Humano cada vez que se deba expedir un certificado de experiencia e idoneidad  (según solicitud), debe verificar los certificados de estudios (tarjetas profesionales y diplomas presentadas por el aspirante), así como la experiencia relacionada con el objeto del contrato (Revisar las certificaciones y tiempo de experiencia); una vez verificada la información, procede a elaborar la certificación para validación y firma por parte del Jefe de la Oficina de Talento Humano.
En caso de que el aspirante no cumpla con los requisitos de idoneidad (estudios y/o experiencia), esta certificación no se expide y se informa a través de un correo electrónico informando las causas de la no expedición.
Los soportes de ejecución de este control son:  Formato Certificado de Idoneidad firmado por el Jefe de la Oficina de Talento Humano.
</t>
  </si>
  <si>
    <t>Documentar el proceso de expedición de certificados de experiencia e idoneidad.</t>
  </si>
  <si>
    <t>Perdida o hurto de las Hojas de vida pertenecientes a los servidores publicos de la Loteria de Bogota</t>
  </si>
  <si>
    <t>RPDP-05</t>
  </si>
  <si>
    <t>Posibilidad de afectación reputacional  por incurrir en fallas en el principio de seguridad y confidencialidad en la informacion contenida en las hojas de vida de los servidores públicos de la entidad, causado por acceso no autorizado, filtración de esta información por parte de alguno de sus responsables o error humano involuntario</t>
  </si>
  <si>
    <t>Exposición de la información de carácter de reserva de los servidores públicos.
Riesgo reputacional y legal para la entidad 
Vulnerabilidad de los servidores públicos o sus familias  por la exposición a la que quedan expuestos los datos de reserva de la hoja de vida</t>
  </si>
  <si>
    <t>Se definio una periodicidad diaria debido a que la información contenida en las hojas de vida se administran de forma diaria.   
Para el impacto se considera la posibilidad de demandas legales por la vulneración del principio de confidencialidad de datos personales, y se considera un impacto reputacional alto ya que esta información puede ocasionar impacto negativos y daños a los servidores y sus familiares.</t>
  </si>
  <si>
    <t>Al inicio de los contratos de orden de prestacion de servicios, se verifica que el personal contratista o de planta haya suscrito un acuerdo de confidencialidad o se tenga una clausula de confidencialidad en los anexos contractuales. Como evidencia estara a disposicion los anexos contractuales y/o el acuerdo de confidencialidad, la cual se conservara en la carpeta del expediente de Secretaría General o Talento Humano según corresponda.
En caso de no identificar la subscripcion del acuerdo por parte del personal, se solicitara por correo electronico el cumplimiento de dicha obligacion.</t>
  </si>
  <si>
    <t>Anexos contractuales
Acuerdos de confidencialidad
Listas de chequeo para los procesos de contratación</t>
  </si>
  <si>
    <t>Acceso a las carpetas  de las hojas de vida de los servidores públicos  por personal no autorizado</t>
  </si>
  <si>
    <t>El o la jefe (a) de la Unidad de Talento Humano  administrará los roles y permisos de usuarios en Sharepoint y expedientes físicos cada vez que se requiera con el fin de con el fin de controlar el acceso a la información únicamente al personal autorizado para ello. Esta información corresponde a hojas de vida y/u otra infomación confidencia; la cual cuando un funcionario solicite préstamo se realizará bajo la supervisión de un colaborador de la Unidad de Talento Humano.  
Para este control no aplica la decisión sobre la desviación dado que la información siempre va a estar custodiada por el Jefe de la Unidad.
Como evidencia se archivan las solicitudes recibidas vía correo electrónico o memorando.</t>
  </si>
  <si>
    <t xml:space="preserve">Desconocimiento de la normativa relacionada con el tratamiento  especial de datos </t>
  </si>
  <si>
    <t>RPDP-06</t>
  </si>
  <si>
    <t>Posibilidad de afectación reputacional  por incurrir en fallas en el principio de confidencialidad en la informacion por remitir o entregar información de carácter personal o laboral de los servidores de la Lotería de Bogotá o sus familias, a terceros, sin que se cumplan los requisitos de Tratamiento de datos sensibles establecidos en el artículo 6 de la Ley 1581 de 2012 debido a desconocimiento de la normativa.</t>
  </si>
  <si>
    <t xml:space="preserve">Exposición de la información de carácter de reserva de los servidores públicos.
Riesgo reputacional y legal para la entidad 
Vulnerabilidad de los servidores públicos o sus familias  por la exposición a la que quedan expuestos los datos de reserva de la hoja de vida
</t>
  </si>
  <si>
    <t xml:space="preserve">Todos los requerimientos en los que se solicite información sensible de los servidores públicos y/o sus familiares es revisada previamente por el Jefe (a) de la Unidad de Talento Humano previo a la autorización de su entrega, con el fin de determinar la validez de la solicitud y que no se viole ninguno de los lineamientos en la Ley 1581 de 2012 de protecciónde Datos Personales. 
Toda la información generada que contenga datos sensibles debe estar soportada por un requerimiento solicitado a la Unidad de Talento Humano y debe cumplir lo establecido en los  articulos 4 y  6 de la Ley 1581 de 2012. En caso de que se determine que no hay un motivo válido para compartir la información solicitada, se negará la solicitud y se informará el motivo de ello.
Periodicidad: Cada vez que se requiera.
Para este control no aplica la decisión sobre la desviación dado que la información siempre va a estar custodiada por el Jefe de la Unidad.
Como evidencia se cuenta con las solicitudes y/o requerimientos de información. </t>
  </si>
  <si>
    <t>Plan Institucional de capacitaciones
Procedimiento PRO320-223 CAPACITACIÓN Y FORMACIÓN</t>
  </si>
  <si>
    <t>Desconocimiento de la normativa relacionada con el tratamiento  especial de datos.</t>
  </si>
  <si>
    <t>RPDP-07</t>
  </si>
  <si>
    <t>Posibilidad de afectación reputacional  por incurrir en fallas en el principio de seguridad y confidencialidad en la informacion y se filtre información de carácter personal o laboral de los servidores de la Lotería de Bogotá o sus familiares, conservada y/o custodiada por la Unidad de Talento Humano  en las diferentes áreas de la entidad, causado por un mal tratamiento de la información custodiada o un desconocimiento de la normativa.</t>
  </si>
  <si>
    <r>
      <t xml:space="preserve">El Oficial de PROTECCION DE DATOS  realizara una reunion con la jefe de talento humano a mas tardar el  30 de junio de 2026 con el fin de identificar las medidas de cifrado de los  datos personales de los servidores publicos y sus familiares que reposan en la base de datos utilizada por talento humano.Las medidas de posible cifrado identificdas deberan ser implemetas a mas tardar el 31 de diciembre de 2026 </t>
    </r>
    <r>
      <rPr>
        <sz val="10"/>
        <rFont val="Calibri"/>
        <family val="2"/>
      </rPr>
      <t xml:space="preserve">
En el caso que el cifrado implementado, no sea efectivo se implementaran medidas de contingencia  tales como información inmediata a los servidores publicos afectados y a la superintendencia de Industria y Comercio.En los casos en que se presente una filtracion de informacion antes de implementar el crifrado, se tomaran iguamente medidas de contingencia tales como:  información inmediata a los servidores publicos afectados y a la superintendencia de Industria y Comercio.
Como evidencia tanto de la reunion como de la impementación de los cifrados se levantaran actas.</t>
    </r>
  </si>
  <si>
    <t>Custodia y manejo de documentos personales y laborales de los servidores públicos sin la debida forma y organización.</t>
  </si>
  <si>
    <t>Presentación de factura duplicada por el mismo producto.</t>
  </si>
  <si>
    <t>RF-11</t>
  </si>
  <si>
    <t>Posibilidad de efecto dañoso sobre recursos públicos por pago incorrecto de facturas de contratos de suministro o adquisición de bienes y servicios, debido a error humano o deficiencias en los controles de verificación.</t>
  </si>
  <si>
    <t>1.Pagos indebidos a proveedores.
2. Procesos disciplinarios.
3. Inconsistencias en la información contable de la entidad.</t>
  </si>
  <si>
    <t>Se definió una periodicidad mensual, en coherencia con la frecuencia con la que se ejecuta esta actividad. El impacto fue valorado como externo, ya que una falla en los controles humanos asociados podría generar afectaciones fuera de la entidad, como retrasos, errores administrativos o pérdida de confianza institucional.</t>
  </si>
  <si>
    <t>Cada supervisor de contrato, mensualmente (o acorde a la periodicidad de la factura) revisa los documentos enviados por el contratista para aprobar e iniciar el trámite de orden de pago, lo anterior, con la finalidad de validar la completitud de documentos, que no se encuentre duplicada la factura, o se registren valores mayores a la factura por cobrar.
En caso de evidenciar inconsistencias en los soportes de la factura, el supervisor del contrato requerirá al proveedor para subsanar las novedades identificadas.
Como soporte de la ejecución del control, resultan los correos electrónicos enviados por los supervisores de contrato, o apoyo a la supervisión, otorgando visto bueno a los documentos remitidos para pago.</t>
  </si>
  <si>
    <t>Procedimiento PRO103-235-11 SEGUIMIENTO CONTRACTUAL</t>
  </si>
  <si>
    <t>Capacitacion seguimiento Contractual</t>
  </si>
  <si>
    <t>Error en la digitación del valor de pago en el aplicativo administrativo y financiero.</t>
  </si>
  <si>
    <t>No afiliar a un servidor público, trabajador oficial o contratista a salud y ARL</t>
  </si>
  <si>
    <t>RF-12</t>
  </si>
  <si>
    <t>Posibilidad de efecto dañoso sobre recursos públicos  por accidente laboral de servidores públicos, trabajadores oficiales o contratistas no afiliados al sistema de seguridad social, ocasionado por fallas en la gestión de talento humano.</t>
  </si>
  <si>
    <t>1. Demandas en contra de la entidad.
2. Sanciones penales y disciplinarias.</t>
  </si>
  <si>
    <t>El profesional de SST cada vez que ingrese un nuevo servidor público, trabajador oficial o contratista, verificará y apoyará la afiliación de ARL, y salud (únicamente para servidores públicos y trabajadores oficiales), con el fin de garantizar el cubrimiento una vez se vinculen a la entidad.
En caso de evidenciar que ingresó un nuevo servidor público, trabajador oficial o contratista que no se ha afiliado a la ARL y salud, el profesional de SST realizará la afiliación inmediata.
Como soporte del control, resulta el certificado de afiliación de ARL (para servidor público, trabajador oficial o contratista), y de salud (para servidor público, trabajador oficial).</t>
  </si>
  <si>
    <t>Procedimiento Vinculación de personal PRO320-225-10</t>
  </si>
  <si>
    <t>No comunicar a la Unidad de Talento Humano de la vinculación del nuevo servidor público, trabajador oficial o contratista</t>
  </si>
  <si>
    <t>Incumplimiento de términos para recobro de incapacidades</t>
  </si>
  <si>
    <t>RF-13</t>
  </si>
  <si>
    <t>Posibilidad de efecto dañoso sobre recursos públicos por pérdida de recursos al no gestionar oportunamente el recobro de incapacidades, derivada de incumplimiento de términos o fallas en la comunicación del trabajador.</t>
  </si>
  <si>
    <t>1.Demandas a la entidad.
2. Procesos sancionatorios penales y disciplinarios.</t>
  </si>
  <si>
    <t>El profesional de apoyo SST cada vez que se genere una incapacidad, verificará y diligenciará en la matriz de seguimiento a recobro de incapacidades la inlcusión y recobro de la incapacidad, para evitar el no pago del recobro, generando un soporte de radicación de recobro de incapacidad ante las EPS.
Debido a la naturaleza del riesgo, no aplica desviación, dado que el no recobro de la incapacidad, se genera detrimento patrimonial, que es sancionable por entes de control.
Como soporte de la ejecución del control resulta la matriz de seguimiento a recobro de incapacidades diligenciada y actualizada cada vez que se requiera.</t>
  </si>
  <si>
    <t>Procedimiento PRO320-421-4 Incapacidades</t>
  </si>
  <si>
    <t>No envío de la incapacidad por parte del trabajador.</t>
  </si>
  <si>
    <t>1. La información (hechos económicos) de costos y gastos no llegue oportunamente por parte de los terceros antes del cierre del periodo contable.
2. Falta de conocimiento en la aplicación de las normas contables vigentes por parte de los profesionales que intervienen.
3. Errores en la parametrización del sistema contable en los cargues automáticos.
4. Errores en la información de ingresos, costos y gastos que se registra en la contabilidad en forma automática (Alto volumén de partidas conciliatorias).</t>
  </si>
  <si>
    <t>RF-14</t>
  </si>
  <si>
    <t>Posibilidad de efecto dañoso sobre recursos públicos  y reputacional por incoherencias en los estados financieros de la entidad, derivadas de registros erróneos o incompletos en los aplicativos contables.</t>
  </si>
  <si>
    <t>1.Hallazgos y sanciones de entes de control.
2.Toma de decisiones equivocadas.
3. Reprocesos y mayores cargas administrativas.</t>
  </si>
  <si>
    <t>La periodicidad se estableció en semestral, y nivel de ocurrencia uno, como línea base sugerida por la Política de Administración del Riesgo.
En afectación económica es menor debido a que podría llegar a afectar la disponibilidad de recursos de la entidad.
La afectación reputacional también es menor, debido a las instancias donde se afectaría la imagen de la Lotería de Bogotá.</t>
  </si>
  <si>
    <t>El profesional IV (Contador) de la unidad financiera y contable mensualmente verificará los saldos de cuentas en libros auxiliares y en el balance general, a partir de la revisión con los extractos bancarios  y las imputaciones contables realizadas, como medida para detectar posibles errores en los registros contables;  como desviación del control cuando se presenta un error se analiza su causa u origen que ocasionó el mal registro o la mala imputación contable y se procederá a su corrección mediante notas contables y/o contrapartidas de tal forma que se conserve la trazabilidad de los movimientos y/o ajustes contables.
Como soporte de la ejecución del control se cuenta con las conciliaciones bancarias, las cuales son realizadas por un profesional asignado de la Unidad Financiera y Contable, y revisadas por el profesional IV (Contador), y el Jefe de la Unidad..</t>
  </si>
  <si>
    <t>Procedimiento gestión de ingresos PRO.310.247
Procedimiento de conciliaciones bancarias PRO.310.252</t>
  </si>
  <si>
    <t>Realizar conciliaciones de todas las cuentas bancarias que posee la Lotería en forma mensual</t>
  </si>
  <si>
    <t>Jefe de la Unidad Financiera y Contable</t>
  </si>
  <si>
    <r>
      <t>El Jefe de la Unidad Financiera y Contable, mensualmente solicitará el envio y registro de los diferentes hechos económicos de la Lotería, mediante correo electrónico remitido a los líderes de proceso con el fin de que la infroamcon sea registada oprtunamente en el aplicativo contable de la entidad.</t>
    </r>
    <r>
      <rPr>
        <sz val="10"/>
        <rFont val="Calibri"/>
        <family val="2"/>
      </rPr>
      <t xml:space="preserve">
Si se presenta una desviación del control, es decir, si falta algún hecho económico del mes anterior, se realizan los ajustes contables en el mes en que se tramite la información.
Como soporte de la ejecución del control se cuenta con los estados financieros del mes.</t>
    </r>
  </si>
  <si>
    <t>Políticas operativas del proceso</t>
  </si>
  <si>
    <t>Requerir el trámite oportuno de los hechos económicos efectuados en el mes</t>
  </si>
  <si>
    <t>El Jefe de la Unidad Financiera y Contable semestralmente, garantizará que se incluya actualización de normativa contable en el Plan Institucional de Capacitación, mediante solicitud a la Unidad de Talento Humano, con la finalidad de que el personal de su área cuente con los conocimientos pertinentes para el desarrollo de sus funciones.
Como desviación del control, es decir, si la Unidad de Talento Humano no incluye la temática en el PIC, el Jefe de la Unidad Financiera y Contable recordará a la Unidad de Talento Humano mediante correo electrónico.
Como soporte del control resultan las solicitudes de capacitación a la Unidad de Talento Humano.</t>
  </si>
  <si>
    <t>Solicitar programación de capacitaciones</t>
  </si>
  <si>
    <t>El Jefe de la Unidad Financiera y Contable mensualmente revisa la información cargada en el aplicativo, con el fin de verificar que los procesos automáticos de cargue funcionen correctamente (afectó las cuentas contables correctas, en el periodo correcto, y se registraron los valores reales).
En caso de evidenciar desviaciones en la información, se solicitarán a mesa de ayuda los ajustes pertinentes del sistema.
Como soporte del control, resultan los correos electrónicos a mesa de ayuda, y tickets de caso.</t>
  </si>
  <si>
    <t>1. Posibilidad de que por directriz de de un órgano superior como Alta Gerencia o Secretaría Distrital de Hacienda se unifiquen todos los recursos en una sola entidad financiera.
2. Políticas de las entidades financieras en la captación de recursos</t>
  </si>
  <si>
    <t>RF-15</t>
  </si>
  <si>
    <t>Posibilidad de efecto dañoso sobre recursos públicos  por concentración de recursos financieros en una sola entidad bancaria, derivada de desconocimiento o incumplimiento de políticas de inversión de liquidez.</t>
  </si>
  <si>
    <t>1.Riesgo de pérdida de recursos por eventual insolvencia de la entidad financiera.
2. Hallazgos de entes de control.
3. Procesos disciplinarios.</t>
  </si>
  <si>
    <t>La periodicidad se estableció en diaria, y nivel de ocurrencia cero, ya que el riesgo no se ha materializado.
En afectación económica es mayor, debido a que podría llegar a afectar la disponibilidad de recursos de la entidad, al concentrar los recursos en una sola entidad bancaria.
La afectación reputacional también es menor, debido a las instancias donde se afectaría la imagen de la Lotería de Bogotá.</t>
  </si>
  <si>
    <t>Realizar apertura o cierre de cuentas bancarias con autorización expresa de la Gerente General.</t>
  </si>
  <si>
    <t>Gerente General
Tesorería</t>
  </si>
  <si>
    <t>Realizar apertura de cuentas bancarias en entidades financieras con calificación alta según las calificadoras de riesgo.</t>
  </si>
  <si>
    <t>Tesorería</t>
  </si>
  <si>
    <t>El funcionario de la unidad financiera y contable mensualmente verificara los saldos de cuentas en libros auxiliares y en el balance general, a partir de la revisión con los extractos bancarios   y las imputaciones contables realizadas, como medida para detectar posibles errores en los registros contables;  como desviación del control cuando se presenta un error se analiza su causa u origen que ocasionó el mal registro o la mala imputación contable y se procederá a su corrección mediante notas contables y/o contrapartidas de tal forma que se conserve la trazabilidad de los movimientos y/o ajustes contables.
Como soporte de la ejecución del control se cuenta con comprobantes de egreso y de ingreso.</t>
  </si>
  <si>
    <t>Procedimiento Generación de estados financieros PRO-301-249</t>
  </si>
  <si>
    <t>Verificar saldos de cuentas en libros auxiliares y en el balance general de la Lotería de Bogotá.</t>
  </si>
  <si>
    <t>1. Falla en el sistema (aplicativo de los bancos)
2. Error humano involuntario</t>
  </si>
  <si>
    <t>RF-16</t>
  </si>
  <si>
    <t>Posibilidad de efecto dañoso sobre recursos públicos  por doble pago a un mismo tercero, derivada de error humano involuntario o fallas en los sistemas de pago.</t>
  </si>
  <si>
    <t>1. Pérdida de recursos económicos.
2. Procesos disciplinarios.
3. Investigaciones de órganos de control.</t>
  </si>
  <si>
    <t>Se escogió periodicidad diaria, ya que en cualquier momento que se realice un pago se puede materializar el riesgo, afectación económica catastrófica, dado que en el peor de los escenarios, se podría girar dos veces el premio mayor.</t>
  </si>
  <si>
    <t>Procedimiento Gestión de Egresos PRO-310-246-9</t>
  </si>
  <si>
    <t>Actualizar el procedimiento de "Elaboración de órdenes de pago" para pagos sin afectación presupuestal, documentando el canal oficial de solicitud de pagos de premios (SIGA)</t>
  </si>
  <si>
    <t>1. Personas no autorizadas accedan al aplicativo donde se conserva la información y la extraiga para uso personal</t>
  </si>
  <si>
    <t>RPDP-08</t>
  </si>
  <si>
    <t>Posibilidad de afectación reputacional  por incurrir en fallas en el principio de seguridad y confidencialidad para el tratamiento de los datos personales de ganadores o servidores a los que se tiene acceso y se transmita a un tercero,  causado por acceso no autorizado o filtración de esta información por parte de uno de sus responsables.</t>
  </si>
  <si>
    <t>1. Afectacion de la imagen institucional.
2. Apertura de posibles procesos penales y disciplinarios para los responsables involucrados.
3. Multas y sanciones.
4. Perdida de la confidencialidad de la información.</t>
  </si>
  <si>
    <t>Se estableció la periodicidad diaria, debido a que al interior de la Unidad Finanicera y Contable se autorizan ordenes de pago de manera diaria, y para el nivel de ocurrencia se usó la linea base sugerida por la política de administración de riesgos.
La afectación reputacional es moderada debido a que la información afectada corresponde a datos de ganadores o servidores, como nóminas, liquidaciones o información personal (ej información de contacto).</t>
  </si>
  <si>
    <r>
      <t xml:space="preserve">El jefe de la Unidad Financiera y Contable trimestralmente remitirá a la Oficina de Gestión Tecnológica el reporte de usuarios que deben tener acceso a las aplicaciones exclusivas del proceso financiero y contable, y valida que la información de perfiles asignados a su dependencia sea acorde a la obligación y función de su equipo de trabajo, </t>
    </r>
    <r>
      <rPr>
        <sz val="10"/>
        <rFont val="Calibri"/>
        <family val="2"/>
      </rPr>
      <t>con el fin de que solo los fucnionarios respomsables del proceso financiero tenga acceso al aplicativo.
En caso de detectarse alguna inconsistencia, el Jefe de la Unidad Financiera y Contable se la informará al responsable de la Oficina de Gestión Tecnológica para que se realice la respectiva corrección.
Como evidencia del control se conservarán los correos de comunicación entre las dependencias.</t>
    </r>
  </si>
  <si>
    <t xml:space="preserve">Validar contra información de la oficina de gestión tecnológica el listado de los usuarios y perfiles asignados al área </t>
  </si>
  <si>
    <t>RPPTO-01</t>
  </si>
  <si>
    <t>Posibilidad de afectación reputacional por expedir disponibilidad presupuestal por el rubro o la fuente incorrecta debido a que los funcionarios tengan permisos incorrectos</t>
  </si>
  <si>
    <t>1. Pagar dos veces por el mismo concepto
2. Disminución de recursos económicos
3. Investigaciones por órganos de control</t>
  </si>
  <si>
    <t>El profesional de presupesto al inicio de cada año (o cuando un usuario requiera un nuevo rubro), asigna a través del sistema ERP (SICOF) exclusivamente los rubros que maneja cada área, con el fin de prevenir que tenga acceso a los demás rubros presupuestales que no apliquen para el proceso respectivo.
Como decisión de la desviación, es decir, si el profesional de presupuesto evidencia que se solicitó un registro por el rubro presupuestal erróneo, rechazará la solicitud.
Como soporte de la ejecución del control, resultará el screenshot de SICOF donde se asignan rubros a funcionarios.</t>
  </si>
  <si>
    <t>Procedimiento de presupeusto</t>
  </si>
  <si>
    <t>RPPTO-02</t>
  </si>
  <si>
    <t>Posibilidad de afectación reputacional por generar información errónea o desactualizada de la ejecución presupuestal debido a fallas en las interfazes comerciales SICOF ERP</t>
  </si>
  <si>
    <r>
      <t>El profesional de presupesto mensualmente verifica que al correr las interfases no se genere errores en el cargue de la infromacion proveniente d ea direccion de opracion de producto, revisada frente a los reportes q arroja el aplicativo comercial</t>
    </r>
    <r>
      <rPr>
        <sz val="11"/>
        <rFont val="Calibri"/>
        <family val="2"/>
      </rPr>
      <t xml:space="preserve"> con el fin de verificar que la infoemacion haya sido cargada correctamente en el presupuesto de ser así, se generará la afectación presupuestal correspondiente a las interfases de forma manual.
Como soporte de la ejecución del control, resulta la ejecución presupuestal.</t>
    </r>
  </si>
  <si>
    <t>Procedimiento PRO310-245-11 EJECUCIÓN Y CONTROL PRESUPUESTAL</t>
  </si>
  <si>
    <t>1. Inadecuado control de inventarios
2. Inadecaudo sitio de almacenamiento
3. Falta de mantenimiento a los bienes
4. Incumplimiento de las condiciones de manipulación y almacenamiento de los bienes
5. Ingreso a bodegas de personal no autorizado
6. Debilidades en los controles de ingreso y salida de bienes</t>
  </si>
  <si>
    <t>Pérdida o deterioro intencional de bienes de la Lotería de Bogotá, con el propósito de causar daño a la entidad o beneficiar indebidamente a terceros, lo que puede generar afectaciones económicas y reputacionales.</t>
  </si>
  <si>
    <t>1. Pérdidas económicas
2.Afectacion Patrimonial
3. Daño reputacional
4.Posibles investigaciones disciplinarias
5. Procesos penales</t>
  </si>
  <si>
    <t xml:space="preserve">Hardware y software…. Aplicativo financiero </t>
  </si>
  <si>
    <t>La probabilidad del riesgo se definió como muy baja, dado que la actividad se realiza de forma trimestral y los controles establecidos por el profesional responsable del almacén se ejecutan con esa misma periodicidad. No obstante, el nivel de ocurrencia se estableció en cero eventos por año, ya que el riesgo no se ha materializado en los últimos seis (6) años.
En cuanto al impacto, este se valoró como menor, considerando que, en ninguno de los escenarios identificados, la afectación económica supera el 1% del patrimonio de la Lotería de Bogotá.</t>
  </si>
  <si>
    <t>Anualmente, durante el mes de enero (con corte al 31 de diciembre del año anterior), el almacenista realiza la verificación de las existencias generales del almacén, así como de los inventarios individuales asignados a cada funcionario.
Esta verificación se efectúa de manera manual, dado que el aplicativo institucional de gestión de inventarios aún no se encuentra en funcionamiento.
Para la validación del inventario individual, el almacenista envía por correo electrónico a cada funcionario el listado de bienes bajo su responsabilidad, solicitando la confirmación de que la información corresponde con la realidad.
Posteriormente, se contrasta la información reportada por los funcionarios con la verificación física realizada en la bodega de almacén.
En caso de identificarse inconsistencias entre el inventario físico y el reportado, el almacenista deberá reportar la novedad al Jefe de la Unidad de Recursos Físicos, quien definirá las acciones correctivas necesarias.
Como evidencia del control, se cuenta con los correos de confirmación de los funcionarios y el acta de verificación anual con sus anexos si corresponde.</t>
  </si>
  <si>
    <t>El profesional responsable del almacén enviará, durante el primer mes del año, un cronograma en el que se establecen las fechas de inventario por dependencia. Este será socializado con los servidores mediante un comunicado enviado a través de SIGA o por correo electrónico, con el fin de programar la actividad.</t>
  </si>
  <si>
    <t>Profesional de Almacen</t>
  </si>
  <si>
    <t>Con el fin de asegurar la adecuada administración de los bienes asignados a cada funcionario, el almacenista realiza la verificación del inventario bajo responsabilidad del funcionario cada vez que se presenta una de las siguientes situaciones administrativas: vacaciones, traslados o retiro.
Actualmente, esta verificación se efectúa de forma manual mediante revisión física y documental, en tanto se implementa el módulo correspondiente en el aplicativo institucional.
En caso de identificarse desviaciones, como faltantes o inconsistencias en el inventario, se otorga un plazo de tres (3) días hábiles al funcionario para ubicar o aclarar la situación del bien en cuestión.
Si la desviación no es subsanada dentro del plazo establecido, el almacenista debe informar a la Secretaría General para el inicio del proceso disciplinario correspondiente.
Como soporte del control se cuenta con el acta de entrega (en casos de traslado o vacaciones) y el formato de retiro de funcionarios.</t>
  </si>
  <si>
    <t>El profesional responsable del almacén realizará el envío semestral de los inventarios individuales a todos los funcionarios de la entidad.</t>
  </si>
  <si>
    <t>El profesional de la Unidad de Recursos Físicos, en conjunto con el almacenista, realizará visitas semestrales a las bodegas de la entidad para verificar las condiciones estructurales, así como la manipulación y el almacenamiento de los bienes.
En caso de identificar desviaciones o condiciones inadecuadas, estas deberán ser reportadas al Jefe de la Unidad de Recursos Físicos, con el fin de formular las estrategias correspondientes para su corrección.
Adicionalmente, si durante la visita se identifican bienes que requieren mantenimiento, se adelantará la gestión necesaria para su intervención, conforme al cronograma anual de mantenimiento ejecutado por la Unidad.
Como soporte del control, se contará con el informe de la visita semestral.</t>
  </si>
  <si>
    <t>Procedimiento de inventario PRO.330.241</t>
  </si>
  <si>
    <t>Diseñar y aplicar un formato estandarizado para las visitas semestrales, que incluya criterios técnicos de evaluación y el registro de hallazgos, indicando, cuando aplique, el nivel de riesgo (alto, medio o bajo) de cada situación identificada, con el fin de facilitar su seguimiento y atención prioritaria.</t>
  </si>
  <si>
    <t xml:space="preserve">Profesional de recursos fisicos/Profesional de Almacen. </t>
  </si>
  <si>
    <t>1. Falta de monitoreo anual de la vigencia y cobertura de las pólizas contratadas.
2. Ingreso de nuevos bienes sin reporte oportuno para su aseguramiento.
3. Inventario de bienes asegurables desactualizado, generando riesgos de no cobertura.
4. Desconocimiento o incumplimiento de los procedimientos de aseguramiento.
5. Errores u omisiones en la gestión contractual de seguros.</t>
  </si>
  <si>
    <t>Posibilidad de que, por acción u omisión, se utilice indebidamente el poder o la autoridad conferida por la entidad para desviar la gestión durante el proceso de administración, contratación, adjudicación, modificación, ejecución o liquidación de las pólizas, con el fin de favorecer intereses particulares o de terceros.</t>
  </si>
  <si>
    <t>1.Pérdida de bienes institucionales
2.Afectación patrimonial 
3.Daño reputacional 
4. Procesos penales</t>
  </si>
  <si>
    <t>La probabilidad del riesgo se definió como muy baja, teniendo en cuenta que el proceso asociado se ejecuta con una periodicidad anual y que, durante el último año, no se han presentado eventos que evidencien su materialización (cero ocurrencias registradas).
En cuanto al impacto, este se valoró como menor, dado que, conforme al análisis realizado, en ninguno de los escenarios identificados la afectación económica proyectada supera el 1% del patrimonio de la Lotería de Bogotá.</t>
  </si>
  <si>
    <t>El o la Jefe de la Unidad de Recursos Físicos debe verificar, anualmente o cada vez que se requiera, la formalización y vigencia de los contratos de seguros institucionales, con el propósito de garantizar la adecuada protección del patrimonio institucional, incluyendo bienes muebles, inmuebles, maquinaria, equipos, créditos a funcionarios y exfuncionarios, seguros de vida y pólizas contra incendio de los créditos de vivienda.
Las pólizas que conforman el programa de seguros institucional incluyen, entre otras: Todo riesgo – daños combinados, manejo global, hurto y responsabilidad civil contractual.
Cada vez que se incorpore un nuevo bien, se modifique el inventario o se realice una modificación en las pólizas, la Jefatura de la Unidad de Recursos Físicos deberá gestionar la inclusión o exclusión correspondiente, garantizando el aseguramiento oportuno y continuo.
Ante cualquier desviación o novedad relacionada con los bienes o las pólizas, se deberá informar de inmediato a la aseguradora para realizar los ajustes pertinentes.
Como evidencia del control, se cuenta con copias físicas de las pólizas suscritas y versiones digitales almacenadas en la red institucional, bajo la custodia de la Unidad de Recursos Físicos.</t>
  </si>
  <si>
    <t xml:space="preserve">La Unidad de Recursos Físicos elaborará un cronograma interno anual para la verificación de la vigencia de las pólizas de seguros institucionales. Adicionalmente, en articulación con el profesional encargado del almacén, se implementará un formato de control para el registro de los nuevos bienes adquiridos, con el fin de gestionar oportunamente su inclusión en las pólizas correspondientes.
</t>
  </si>
  <si>
    <t>Daño de activo fijo/Evento extremo.</t>
  </si>
  <si>
    <t>1. Supervisión inadecuada del contrato
2. Falta de revisión de la bitácora seguridad y vigilancia
3. Debilidades en los controles de ingreso y salida de bienes.
4. Inadecuada revision de ordenes de compra. 
5. Posible conflicto de intereses o favoritismo en los procesos de contratación o supervisión.
6. Falta de verificación oportuna del cumplimiento de requisitos contractuales por parte de los proveedores.</t>
  </si>
  <si>
    <t>Posibilidad de que, por acción u omisión, se utilice indebidamente el poder o la autoridad conferida para desviar la gestión durante los procesos de planeación, contratación, supervisión o ejecución de los contratos de servicios de seguridad y vigilancia, papelería y cafetería, con el fin de favorecer intereses particulares o de terceros.</t>
  </si>
  <si>
    <t>1. Prestación deficiente de los servicios tercerizados.
2.Incumplimiento de las condiciones contractuales pactadas con los proveedores.
3.Daño reputacional institucional.
4.Eventual apertura de procesos penales por posibles omisiones en la supervisión contractual.
5.Debilitamiento del control institucional sobre los proveedores, generando reprocesos o situaciones de desabastecimiento.
6.Afectación a la satisfacción de los usuarios internos, por interrupciones en el suministro de insumos o la prestación oportuna de los servicios contratados.</t>
  </si>
  <si>
    <t>La probabilidad del riesgo se valoró como muy baja, teniendo en cuenta que los controles establecidos por el supervisor del contrato se ejecutan con una periodicidad mensual, lo que permite mitigar oportunamente cualquier situación que pudiera derivar en la materialización del riesgo. Además, en los últimos años no se han presentado eventos asociados (cero ocurrencias registradas), lo cual respalda esta calificación y evidencia una baja probabilidad de manifestación.
En cuanto al impacto, este se valoró como menor, ya que en ninguno de los escenarios identificados la afectación económica supera el 1% del patrimonio de la Lotería de Bogotá.</t>
  </si>
  <si>
    <t>El o la Jefe de la Unidad de Recursos Físicos, en calidad de supervisor(a) del contrato de seguridad y vigilancia, debe verificar mensualmente el cumplimiento de las obligaciones contractuales.
Esta verificación incluye la revisión de la bitácora de vigilancia, diligenciada diariamente por el personal de seguridad, con el propósito de registrar e identificar novedades relacionadas con el ingreso y salida de bienes institucionales, documentos, equipos o elementos personales de contratistas, visitantes o proveedores.
El control tiene como finalidad fortalecer la trazabilidad y el seguimiento a los bienes, equipos y documentos que circulan en las instalaciones, minimizando los riesgos asociados a la pérdida, sustracción o retiro no autorizado.
En caso de detectarse una novedad o irregularidad en el ingreso o salida de bienes, documentos o equipos sin la debida autorización, se deberá informar de inmediato a la Secretaría General, para activar los procedimientos correctivos, administrativos o legales correspondientes, conforme a los lineamientos institucionales.
Como evidencia del control, se cuenta con los registros físicos o digitales de la bitácora de vigilancia y los informes mensuales de supervisión del contrato, bajo la custodia de la Unidad de Recursos Físicos.</t>
  </si>
  <si>
    <t>Procedimiento Seguimiento Contractual PRO103-235</t>
  </si>
  <si>
    <t>El almacenista realizará una revisión aleatoria mensual de la bitácora de vigilancia relacionada con el ingreso y salida de bienes.</t>
  </si>
  <si>
    <t>Jefe Unidad de recursos fisicos/Profesional de Almacen.</t>
  </si>
  <si>
    <t>El o la Jefe de la Unidad de Recursos Físicos debe verificar anualmente que, en los pliegos de condiciones de los contratos de papelería y cafetería, se incluya como requisito obligatorio el suministro de elementos que cumplan con la normativa ambiental vigente.
Este control aplica específicamente a los siguientes contratos:
– Contrato anual de papelería, con entrega única anual.
– Contrato anual de cafetería, con entregas mensuales.
En caso de identificarse desviaciones en la ejecución del control, como el suministro de productos no conformes con los criterios ambientales, se deberá gestionar la devolución inmediata de los elementos y dejar constancia documentada en los informes de supervisión.
Como evidencia del control, se cuenta con el contrato respectivo, los pliegos de condiciones, las actas o registros de revisión técnica en el proceso de recepción y los informes mensuales de supervisión.</t>
  </si>
  <si>
    <t xml:space="preserve">Documentado </t>
  </si>
  <si>
    <t>El almacenista elaborará una lista de verificación ambiental para la recepción de productos de papelería y cafetería, con base en la normatividad ambiental vigente, con el fin de que el supervisor del contrato pueda validar el cumplimiento de los requisitos antes de aceptar el suministro. Esta herramienta permitirá fortalecer el control en la etapa de recepción y asegurar que los elementos entregados cumplan con los criterios establecidos en los pliegos contractuales.</t>
  </si>
  <si>
    <t xml:space="preserve">Ambiental </t>
  </si>
  <si>
    <t xml:space="preserve">Usuarios,Productos y practicas. </t>
  </si>
  <si>
    <t xml:space="preserve">1. Medición insuficiente o inadecuada del consumo de agua y energía.
2.Ausencia o debilidad de una política institucional sobre el consumo responsable de recursos y productos con impacto ambiental.
3.Selección inadecuada de proveedores e insumos sin criterios de sostenibilidad ambiental.
4.Deficiencias en los controles y el seguimiento a las variables de consumo de recursos naturales.
5.Baja sensibilización y apropiación de una cultura ambiental por parte del personal.
</t>
  </si>
  <si>
    <t>RA-01</t>
  </si>
  <si>
    <t>Posible afectación ambiental y económica, derivada del uso ineficiente de recursos como agua, energía, papel y tóner, debido a la falta de conciencia ambiental del personal, deficiencias en el control del consumo y ausencia de lineamientos institucionales claros sobre sostenibilidad.</t>
  </si>
  <si>
    <t>1. Incremento en los costos operativos por el consumo excesivo de recursos.
2.Impacto negativo en el medio ambiente (desperdicio de agua, uso intensivo de energía, generación de residuos).
3.Deterioro de la imagen institucional frente a la ciudadanía o entes de control.
4.Riesgo de incumplimiento de compromisos o políticas ambientales (internas o sectoriales).
5.Mayor huella ambiental institucional.</t>
  </si>
  <si>
    <t>La probabilidad de ocurrencia del riesgo se valoró en cero, dado que la entidad cuenta con una política ambiental institucional consolidada, realiza seguimiento mensual al consumo de recursos y ejecuta actividades de sensibilización ambiental de manera periódica. Estas acciones han favorecido la apropiación de buenas prácticas por parte del personal, lo que reduce significativamente la probabilidad de que se presenten desviaciones relevantes en el uso de los recursos.
El impacto del riesgo se consideró leve, toda vez que, en los últimos dos (2) años, no se han registrado incumplimientos ni afectaciones ambientales significativas. Los controles implementados han demostrado ser eficaces para prevenir consecuencias negativas en los ámbitos ambiental, económico y reputacional.</t>
  </si>
  <si>
    <r>
      <t xml:space="preserve"> El responsable del PIGA (Plan Institucional de Gestión Ambiental), en coordinación con la Unidad de Recursos Físicos, realizará verificaciones semestrales en los puntos de consumo de agua de la entidad, con el fin de constatar el funcionamiento adecuado de los ahorradores físicos de agua (grifos, sanitarios, lavamanos, entre otros).
En caso de identificar fallas o mal funcionamiento, se gestionará el cambio o reparación del dispositivo, mediante comunicación por correo electrónico dirigida al Jefe de la Unidad de Recursos Físicos, quien adelantará las acciones correspondientes; </t>
    </r>
    <r>
      <rPr>
        <sz val="11"/>
        <rFont val="Calibri"/>
        <family val="2"/>
      </rPr>
      <t xml:space="preserve">y, así mismo, se realizará capacitaciones sobre el uso adecuado de recursos y correos de sensibilización al interior de la entidad. </t>
    </r>
    <r>
      <rPr>
        <sz val="11"/>
        <rFont val="Calibri"/>
        <family val="2"/>
      </rPr>
      <t xml:space="preserve">
Como soporte del control,</t>
    </r>
    <r>
      <rPr>
        <sz val="11"/>
        <rFont val="Calibri"/>
        <family val="2"/>
      </rPr>
      <t xml:space="preserve"> se entregará el formato de inspecciones hidrosanitarias, el listado de asistencia a la capacitación y/o los correos de sensibilización. </t>
    </r>
  </si>
  <si>
    <t>Diseñar, formalizar e implementar el formato de lista de verificación del estado de los ahorradores físicos de agua, y establecer el mecanismo de archivo digital de los informes semestrales y comunicaciones de gestión ante fallas, como parte del seguimiento ambiental institucional.</t>
  </si>
  <si>
    <t>Profesional PIGA</t>
  </si>
  <si>
    <r>
      <t xml:space="preserve">El almacenista realizará un seguimiento trimestral al consumo de papel por parte de las diferentes áreas de la entidad, a partir de un registro en Excel que consolida las solicitudes de papel realizadas durante el período </t>
    </r>
    <r>
      <rPr>
        <sz val="11"/>
        <rFont val="Calibri"/>
        <family val="2"/>
      </rPr>
      <t xml:space="preserve">con el fin de identificar el consumo de papel en la entidad. </t>
    </r>
    <r>
      <rPr>
        <sz val="11"/>
        <rFont val="Calibri"/>
        <family val="2"/>
      </rPr>
      <t xml:space="preserve">
En caso de identificarse incrementos notables e injustificados en el consumo por parte de alguna dependencia, se coordinará con la respectiva jefatura la reducción temporal en las entregas; </t>
    </r>
    <r>
      <rPr>
        <sz val="11"/>
        <rFont val="Calibri"/>
        <family val="2"/>
      </rPr>
      <t xml:space="preserve">y, así mismo, se realizará capacitaciones sobre buenas practicas de reducción del consumo de papel  y correos de sensibilización al interior de la entidad. </t>
    </r>
    <r>
      <rPr>
        <sz val="11"/>
        <rFont val="Calibri"/>
        <family val="2"/>
      </rPr>
      <t xml:space="preserve">
Como soporte del control, se conservará el registro en Excel de las entregas de papel </t>
    </r>
    <r>
      <rPr>
        <sz val="11"/>
        <rFont val="Calibri"/>
        <family val="2"/>
      </rPr>
      <t xml:space="preserve">o insumo </t>
    </r>
    <r>
      <rPr>
        <sz val="11"/>
        <rFont val="Calibri"/>
        <family val="2"/>
      </rPr>
      <t xml:space="preserve">por área, </t>
    </r>
    <r>
      <rPr>
        <sz val="11"/>
        <rFont val="Calibri"/>
        <family val="2"/>
      </rPr>
      <t>el listado de asistencia a la capacitación y/o los correos de sensibilización.</t>
    </r>
  </si>
  <si>
    <t>Diseñar, validar e implementar un formato de documento de entrega que registre formalmente la entrega de papel (u otros insumos) por parte del almacenista a las áreas de la entidad.</t>
  </si>
  <si>
    <t>Gestión de Bienes y Servicios / Secretaria General</t>
  </si>
  <si>
    <t xml:space="preserve">Servicio </t>
  </si>
  <si>
    <t>El supervisor, conforme a la periodicidad establecida en el contrato y con el fin de verificar el cumplimiento de las obligaciones contractuales, deberá revisar y analizar que los informes presentados por el contratista para efectos de pago, de acuerdo con las estipulaciones contractuales, contengan los productos o documentos que soporten las actividades ejecutadas y sean pertinentes para acreditar su cumplimiento.
En caso de identificar que el informe o la actividad reportada no cumple con las condiciones pactadas, deberá requerir al contratista para su respectivo ajuste.
Una vez verificado el cumplimiento, el supervisor certificará el cumplimiento de las obligaciones contractuales mediante el formato dispuesto para el informe de seguimiento contractual.
El informe de supervisión constituye el soporte de la ejecución del control ejercido por el supervisor.</t>
  </si>
  <si>
    <t>La Secretaría General garantizará anualmente la realización de una capacitación dirigida a los supervisores de contratos, enfocada en sus funciones y responsabilidades, con el fin de brindar herramientas que fortalezcan el adecuado ejercicio de la supervisión contractual. Esta capacitación tiene como objetivo reforzar y consolidar los conocimientos relacionados con el cumplimiento de las obligaciones contractuales.
En caso de inasistencia, se reportará a la Unidad de Talento Humano para que se adelanten las acciones de mejora correspondientes frente a los servidores públicos que no asistieron. La capacitación deberá ser evaluada con el propósito de identificar el nivel de apropiación del conocimiento por parte del público objetivo.
Como soporte de la ejecución del control, se deberá contar con el formato de lista de asistencia de los supervisores presentes, junto con las memorias de la capacitación.</t>
  </si>
  <si>
    <t>El área solicitante deberá justificar la necesidad de la contratación bajo la modalidad de prestación de servicios, conforme a los criterios establecidos en el Manual de Contratación. Para ello, la Secretaría General brindará apoyo mediante el ejercicio del control de legalidad en la elaboración de los estudios previos, con el fin de prevenir riesgos asociados a la configuración de un contrato realidad.
En caso de detectarse desviaciones en el control, tales como la ausencia o insuficiencia de la justificación de la necesidad de la contratación en los términos del Manual de Contratación, la Secretaría General recomendará los ajustes correspondientes.
Como soporte del ejercicio del control, se cuenta con la suscripción del contrato debidamente sustentado.</t>
  </si>
  <si>
    <t>El líder del proceso mensualmente verificará los informes que su área deba remitir, mediante la Matriz de Comunicaciones, con el fin de reportar la información en los tiempos previstos por Ley y este a su vez enviará o designará a un miembro de su equipo para enviar un correo electrónico a la Oficina Asesora de Planeación bimestralmente , indicando el cumplimiento de los informes del proceso relacionados en la matriz.
Si se detectan desviaciones en el control, es decir:
1) si se identifica que la información en la matriz de comunicaciones está desactualizada, el líder del proceso o un profesional del equipo designado, deberá solicitar la actualización ante el área de Comunicaciones y Mercadeo; 
2) Si se identifica incumplimiento de algún reporte en los tiempos previstos, de manera inmediata, el líder del proceso o un auditor de su equipo designado, realizará el reporte de información registrada en la matriz de comunicaciones y diligenciará y enviará los formatos de materialización de riesgos a la Oficina Asesora de Planeación.
Como evidencia de la ejecución del control, resultan los correos electrónicos bimestrales remitidos por el líder del proceso o un miembro del equipo de trabajo designado, al personal de la Oficina Asesora de Planeación con el reporte de cumplimiento o incumplimiento de los informes contenidos en la matriz de comunicaciones.</t>
  </si>
  <si>
    <t>Jefe Unidad Recursos Físicos</t>
  </si>
  <si>
    <t>1. Error humano.
2. Ausencia de acuerdos de confidencialidad colaboradores internos.</t>
  </si>
  <si>
    <t>RPDP-09</t>
  </si>
  <si>
    <t>Posibilidad de afectación reputacional  por incurrir en fallas en el principio de seguridad y confidencialidad en la informacion contenida en las carpetas fisicas de los contratos de la entidad, causado por acceso no autorizado, filtración de esta información por parte de alguno de sus responsables o error humano involuntario</t>
  </si>
  <si>
    <t>1. Afectacion de la imagen institucional.
2. Apertura de procesos fiscales, penales y disciplinarios para los responsables involucrados.
3. Multas y sanciones.
4. Perdida de la confidencialidad de la información.</t>
  </si>
  <si>
    <t xml:space="preserve">Documental </t>
  </si>
  <si>
    <t xml:space="preserve">Confidencial </t>
  </si>
  <si>
    <t>Se definió una periodicidad diaria, dado que la información contenida en los archivos contractuales se administra de manera continua. Para el nivel de ocurrencia, se tomó como referencia la línea base recomendada en el Manual de Administración de Riesgos de la entidad.
En cuanto al impacto, se consideró un impacto de tipo reputacional, en la medida en que, si bien las carpetas contienen información privada de los contratistas, no se resguarda información considerada como sensible.</t>
  </si>
  <si>
    <t>Cada vez que se requiera acceso a una carpeta física de la entidad, el solicitante deberá solicitar autorización al responsable designado por la Secretaría General. Todo préstamo de carpetas deberá realizarse únicamente con autorización previa y quedará registrado mediante un formato de prestamos de documentos debe ser firmado tanto por el solicitante como por el responsable del archivo.
Dicho registro conservará la siguiente información: nombre completo, dependencia, firma del solicitante y datos básicos de identificación de la carpeta solicitada.
Los folios de las carpetas se encuentran debidamente enumerados y las carpetas se resguardan bajo llave. El acceso a estos archivos está restringido exclusivamente a los profesionales autorizados por la Secretaría General.
Finalmente, la autorizacion de acceso a carpetas conservadas en el archivo documental debe ser autorizada por la unidad de recursos fisicos
Como decisión sobre la desviación, es decir, en el caso de que se preste el expediente sin la debida autorización y este se pierda, se procederá conforme al procedimiento reglamentado en la norma de archivo general. Iniciando con la denuncia penal y la reconstrucción del expediente.
Como evidencia del control se conserva el registro de prestamos de carpetas y correos electrónicos de comunicación.</t>
  </si>
  <si>
    <t>Checklist de legalización contractual la verificación del acuerdo de confidencialidad.</t>
  </si>
  <si>
    <t>Secretaria General/Profesional de archivo</t>
  </si>
  <si>
    <r>
      <t xml:space="preserve">Al inicio de los contratos de orden de prestacion de servicios de perosona natural, el encargado de la Secretaría General verificará que el personal a vincular haya suscrito un acuerdo de confidencialidad o se haya incluido una clausula de confidencialidad en los anexos contractuales. </t>
    </r>
    <r>
      <rPr>
        <sz val="11"/>
        <rFont val="Calibri"/>
        <family val="2"/>
      </rPr>
      <t xml:space="preserve">EN CASO DE NO IDENTIFICARSE LA SUSCRIPCION DEL ACUERDO DE CONFIDENCIALIDAD SE REQUERIRA AL SUERVISRO QUIEN DEFINIRÁ SI ES NECESARIA LA SUSCRIPCIÓN.
Como evidencia estara a disposicion los anexos contractuales y/o el acuerdo de confidencialidad, la cual se conservara en la carpeta del expediente de Secretaría General o Talento Humano según corresponda.
</t>
    </r>
  </si>
  <si>
    <t>1. Anexos contractuales
2.Acuerdos de confidencialidad
3.Listas de chequeo para los procesos de contratación</t>
  </si>
  <si>
    <t>Trasversal</t>
  </si>
  <si>
    <t>1. Presentación de factura duplicada por el mismo producto.
2. Error en la digitación del valor de pago en el aplicativo administrativo y financiero.</t>
  </si>
  <si>
    <t xml:space="preserve">Cada supervisor de contrato, mensualmente o de acuerdo con la periodicidad establecida para el trámite de pago, revisa los documentos enviados por el contratista con el fin de aprobar e iniciar el proceso de orden de pago. Esta revisión busca validar la completitud de los documentos, evitar la duplicidad de facturas y verificar que los valores registrados no superen los consignados en la factura presentada.
En caso de identificar inconsistencias en los soportes, el supervisor requerirá al contratista para que subsane las observaciones correspondientes.
Como evidencia del control, se conservarán los correos electrónicos enviados por el supervisor o el profesional de apoyo a la supervisión, en los que se otorga visto bueno a los documentos remitidos para pago.
</t>
  </si>
  <si>
    <t xml:space="preserve">TODAS LAS UNIDADES </t>
  </si>
  <si>
    <t>El Jefe de área cada vez que reciba una PQRS para su respectiva gestión, verificará los términos de Ley para dar respuesta a las mismas, con el objetivo de evitar retrasos en la oportunidad del trámite correspondiente.
En caso de la no gestión oportuna en la respuesta a las PQRS, una vez identificada la respuesta fuera de términos de Ley, se responderá de manera inmediata, y se informará sobre la materialización del riesgo a las oficinas de Control Interno y Planeación a través del diligenciamiento de los formatos correspondientes en conjunto con el área de Atención al Cliente, quien remitirá los formatos correspondientes.
Como soporte de la ejecución del control, se contará con las respuestas oportunas a PQRS tramitadas por correo electrónico, SIGA y el Sistema Distrital para la Gestión de Peticiones Ciudadanas - Bogotá Te Escucha.</t>
  </si>
  <si>
    <t>1. Exigencia de acciones de subordinación sobre los contratistas de la Lotería, que limiten la autonomía
2. Contratos que no cumplen los criterios establecidos para la contratación de prestación de servicios</t>
  </si>
  <si>
    <t>RF-17</t>
  </si>
  <si>
    <t>Posibilidad de efecto dañoso sobre recursos públicos por incumplimiento de los criterios establecidos para la contratación de prestación de servicios, derivado de la configuración de contrato realidad</t>
  </si>
  <si>
    <t>1. Reclamaciones administrativas
2. Demandas judiciales
3. Condenas para la entidad</t>
  </si>
  <si>
    <t>La periodicidad se estableció en mensual, debido a que el 90% de los contratos, se ejecutan con periodicidad mensual, nivel de ocurrencia en cero, ya que el riesgo no se ha materializado, afectación económica menor, ya que ningún contrato por prestación de servicios alcanzaría el valor del 1% del patrimonio de la Lotería, y afectación reputacional también menor</t>
  </si>
  <si>
    <t xml:space="preserve">El área solicitante deberá justificar la necesidad de la contratación de la prestación del servicio conforme a los criterios establecidos en el Manual de Contratación, para lo cual, la Secretaría General apoyará con el control de legalidad en los estudios previos; el fin del control es evitar procesos por contrato realidad.
Si se detecta una desviación en el control, es decir, que la justificación de necesidad para contratación por prestación de servicios no está incluida o no está conforme al Manual de Contratación, desde Secretaría General se sugieren los ajustes.
Como soporte del control resulta la suscripción del contrato </t>
  </si>
  <si>
    <t>Manual de Contratación</t>
  </si>
  <si>
    <t xml:space="preserve">La Secretaría General garantizará anualmente la realización de  una capacitación dirigida a los supervisores de contratos, en relación con las funciones y responsabilidades de la supervisión con la finalidad de brindar herramientas para el buen ejercicio  de la función de supervisión. 
En caso de inasistencia, se reportará a la Unidad de Talento Humano con la finalidad de generar una acción de mejora respecto de los servidores públicos que no asistieron, dicha capacitación deberá ser evaluada para identificar la apropiación del conocimiento por parte del público objetivo.
Como soporte de la ejecución del control, resulta el formato de lista de asistencia de los supervisores presentes junto con la memorias de la capacitación. </t>
  </si>
  <si>
    <t>1. Falta de conocimiento (capacitaciones) sobre las políticas y lineamientos de la gestión documental en la empresa.
2. Poca apropiación de la documentación por parte de todos los responsables (servidores públicos y contratistas), y líderes de proceso.
3. Desactualización de instrumentos y herramientas de gestión documental que permitan el cumplimiento de lineamientos y directrices enmarcados en la norma archivística.</t>
  </si>
  <si>
    <t>RG-14</t>
  </si>
  <si>
    <t>Posibilidad de afectación reputacional por desactualización de la documentación metodológica de la Lotería debido a desactualización de instrumentos y herramientas de gestión documental que permitan el cumplimiento de lineamientos y directrices enmarcados en la norma archivística</t>
  </si>
  <si>
    <t>1. Incumplimientos de la normatividad archivística vigente
2. Hallazgos de entes de control</t>
  </si>
  <si>
    <t>La periodicidad se estableció de carácter diario, y para el nivel de ocurrencia se utilizó la línea base sugerida en la Política de Administración del Riesgo.
Frente al impacto, se estableció afectación reputacional de carácter moderado debido a la imagen afectada de la Lotería de Bogotá, y ante qué actores se afectaría la imagen.</t>
  </si>
  <si>
    <t>El profesional de archivo de la Unidad de Recursos Físicos deberá verificar trimestralmente la aplicación de la Tabla de Retención Documental (TRD) vigentes y de los procesos archivísticos en las diferentes áreas de la entidad; en caso de identificar desviaciones o incumplimientos frente a lo establecido en la TRD o en los lineamientos archivísticos, deberá documentar dichos hallazgos en un acta de reunión donde se consignen la desviación identificada, los compromisos adquiridos, las actividades a realizar y las fechas previstas para su cierre. 
Como evidencia de la ejecución del control, se conservarán las actas de seguimiento a la aplicación de la TRD elaboradas por cada área evaluada.</t>
  </si>
  <si>
    <t>Circular 07 de abril de 2022</t>
  </si>
  <si>
    <t>Establecer compromisos y fechas de cumplimiento con las áreas incumplidas, y realizar seguimiento hasta asegurar la aplicación efectiva de la TRD y los procesos archivísticos.</t>
  </si>
  <si>
    <t xml:space="preserve">Profesional Gestión Documental/Area auditada. </t>
  </si>
  <si>
    <t>Aunque el riesgo no se materializó en el primer trimestre, actualmente se adelanta el proceso de contratación del profesional de archivo, con el fin de fortalecer las medidas preventivas y garantizar una adecuada gestión documental.</t>
  </si>
  <si>
    <t>El jefe o la jefe  de la Unidad de Recursos Físicos, a través del profesional de gestión documental, evaluará semestralmente los conocimientos del personal de la entidad en temas de gestión documental, mediante una capacitación articulada con el Plan Institucional de Capacitación (PIC) vigente. En caso de identificarse la desviación, consistente en que los resultados generales de la evaluación sean inferiores al 60%, se programará una capacitación extraordinaria dirigida a los servidores públicos, enfocada en los temas no comprendidos. 
Como evidencia del control, se conservarán las memorias de la capacitación, las listas de asistencia y los resultados consolidados de las evaluaciones aplicadas.</t>
  </si>
  <si>
    <t>Procedimiento Capacitación y Formación 320-223-9</t>
  </si>
  <si>
    <t>Remitir sensibilizaciones mensuales a todos los servidores públicos sobre gestión documental, a través de medios institucionales.</t>
  </si>
  <si>
    <t>Profesional Gestión Documental</t>
  </si>
  <si>
    <t>31/03/2026</t>
  </si>
  <si>
    <t>1. Espacio de Archivo que no cumple condiciones de almacenamiento
2. Falta de estrategias, lineamientos para la conservación de la información fisica
3. Practica inadecuada del manejo de la información</t>
  </si>
  <si>
    <t>RG-15</t>
  </si>
  <si>
    <t>Posibilidad de afectación reputacional por perdida de memoria institucional  en las diferentes fases del ciclo de vida del documento debido a inadecuada aplicación de los procesos archivísticos y desactualización de los instrumentos de gestión documental</t>
  </si>
  <si>
    <t>1. Incumplimiento de lineamientos y directrices  que permitan cumplir con la condiciones de almacenamiento
2.  Hallazgos por entes de control 
3. Deterioro de la información física</t>
  </si>
  <si>
    <r>
      <t xml:space="preserve">El profesional de Gestión Documental, en conjunto con el profesional de Conservación Documental de la Unidad de Recursos Físicos, deberá elaborar el componente de conservación documental mediante la formulación del Plan de Conservación Documental y realizar </t>
    </r>
    <r>
      <rPr>
        <b/>
        <sz val="11"/>
        <rFont val="Calibri"/>
        <family val="2"/>
      </rPr>
      <t>anualmente</t>
    </r>
    <r>
      <rPr>
        <sz val="11"/>
        <rFont val="Calibri"/>
        <family val="2"/>
      </rPr>
      <t xml:space="preserve"> el seguimiento a su implementación en las diferentes áreas de la entidad. En caso de identificarse la desviación, consistente en que dicho componente no esté siendo implementado o presente incumplimientos frente a lo establecido en el Plan de Conservación Documental, el profesional de Gestión Documental o el profesional de Conservación Documental deberá comunicar las inconsistencias detectadas a las áreas correspondientes, mediante correo electrónico o a través del SIGA, con el fin de generar las acciones correctivas necesarias. Como evidencia de la ejecución del control, se contará con el Plan de Conservación Documental formulado, el informe de seguimiento y los registros de comunicación enviados (correos electrónicos o reportes en SIGA).</t>
    </r>
  </si>
  <si>
    <t>Sistema integrado de  Conservación</t>
  </si>
  <si>
    <t xml:space="preserve">Enviar comunicación institucional por correo electrónico a las áreas, recordándoles su responsabilidad y verificando el cumplimiento en el siguiente corte trimestral.
Preguntar a ChatGPT
</t>
  </si>
  <si>
    <t>Profesional -Restaurador</t>
  </si>
  <si>
    <t>31/03/2027</t>
  </si>
  <si>
    <t xml:space="preserve">El profesional de Gestión Documental de la Unidad de Recursos Físicos, o quien sea designado por el jefe de la Unidad, verificará trimestralmente la normatividad vigente en materia archivística aplicable a la Lotería de Bogotá, mediante consultas en la página web del Archivo General de la Nación y de la Dirección Distrital de Archivo de Bogotá. En caso de identificarse la desviación, consistente en la existencia de nueva normatividad aplicable que no haya sido incorporada o apropiada en los procesos internos, el profesional responsable deberá revisar su aplicabilidad dentro de la entidad y gestionar los ajustes correspondientes en los instrumentos archivísticos. Como evidencia de la ejecución del control, se conservarán los pantallazos de las consultas realizadas trimestralmente a las páginas web mencionadas.
</t>
  </si>
  <si>
    <t>Establecer un recordatorio institucional por correo electrónico y dejar respaldo del cumplimiento mediante acta o reporte enviado al jefe de la unidad.</t>
  </si>
  <si>
    <t>31/03/2028</t>
  </si>
  <si>
    <t>Aunque el riesgo no se materializó en el primer trimestre, actualmente se adelanta el proceso de contratación del profesional de archivo, con el fin de fortalecer las medidas preventivas y garantizar una adecuada gestión documental, incluida la actualización de los instrumentos, si a ello hubiere lugar.</t>
  </si>
  <si>
    <t>31/03/2029</t>
  </si>
  <si>
    <t>No se presentó actualización de la matriz de comunicaciones como tampoco reportó materialización del riesgo.</t>
  </si>
  <si>
    <t>31/03/2030</t>
  </si>
  <si>
    <t>31/03/2031</t>
  </si>
  <si>
    <t>Durante el periodo de seguimiento se gestionaron de manera oportunas las PQR de la Unidad de Recursos Físicos</t>
  </si>
  <si>
    <t>1. No contar con personal o proveedores que realicen las   las actividades de mantenimiento.
2. Ausencia de cláusulas contractuales relacionadas con mantenimientos en los contratos de soluciones de TI.
3. Falta de seguimiento sobre los cronogramas de mantenimientos.
4. Inexactitud en la documentación de procedimientos relacionados con los mantenimientos.
5. Falta de presupuesto para contar con los recursos necesarios para hacer mantenimientos. 
6. No realizar los mantenimientos programados y necesarios a los sistemas de información e infraestructura tecnólogica.</t>
  </si>
  <si>
    <t>RG-16</t>
  </si>
  <si>
    <t>Posibilidad de afectación económica, reputacional y de operación por inconvenientes en la ejecución de los mantenimientos debido a limitación de recursos para su realización</t>
  </si>
  <si>
    <t>1. Materialización de incidentes que afecten la operación tecnólogica de la entidad. 
2. Pérdida de la disponibilidad, integridad, y confidencialidad de la información .
3. Sanciones por parte de entes de control.
4. Afectación reputacional
5. Perdidas economicas
6. Posibles fallas en los sistemas de información y la plataforma tecnológica, generando indisponibilidad de los servicios relacionados.</t>
  </si>
  <si>
    <t>Se definió la periodicidad de carácter diario y nivel de ocurrencia de 3 días en que la Lotería de Bogotá se quedó sin internet (sábado, domingo y medio día de un lunes).
El impacto contempla las 3 áreas de afectación, se calificaron en menor, debido a la imagen afectada de la entidad y ante quién se afectaría en caso de materializarse el riesgo; de igual modo, se plantea la interrupción de la operación máximo por un día.</t>
  </si>
  <si>
    <t>El profesional o colaborador designado, dos meses antes del término del contrato vigente para realizar los mantenimientos en la infraestructura tecnólogica, debe validar que el proceso de contratación del nuevo proveedor lleve a cabo con el fin de dar continuidad a la operación de los procesos de la entidad. 
Como decisión sobre la desviación, es decir, en caso de no contar con contrato de mantenimiento, se realizará con el talento humano disponible en la Oficina de Gestión Tecnológica e Innovación, en los casos de ser posible, y en los casos que no se pueda ejecutar con el talento humano disponible, se aceptará el riesgo mientras se gestiona el nuevo contrato de mantenimiento.
Como evidencia de la ejecución del control resultará el contrato firmado y en ejecución en SECOP II.</t>
  </si>
  <si>
    <t>Plan anual de adquisiciones PRO-330-236
Planeación de los recursos financieros PRO-310-188
Proyecto de inversión PRO-332-189</t>
  </si>
  <si>
    <t xml:space="preserve">Adelantar los procedimientos precontractuales establecidos por la entidad, para la contratación del proveedor idóneo. </t>
  </si>
  <si>
    <t>Secretario General
Jefe Oficina de Gestión Tecnológica e Innovación</t>
  </si>
  <si>
    <t>El supervisor designado, de acuerdo con la programación de los mantenimientos en los contratos, debe verificar el cumplimiento y soportarlo en cada obligación. Así mismo, realiza seguimiento al cumplimiento de las obligaciones contractuales y la ejecución de los mantenimientos. 
De no realizarse el control en el momento que se identifique, se ejecuta y se corrige inmediatamente, como evidencia se dejan los informes de seguimiento al contrato.</t>
  </si>
  <si>
    <t>Procedimiento seguimiento contractual PRO-103-235-8</t>
  </si>
  <si>
    <t xml:space="preserve">
Elaborar los informes de supervisión del contrato relacionado con los mantenimientos.</t>
  </si>
  <si>
    <t xml:space="preserve">
Jefe Oficina de Gestión Tecnológica e Innovación</t>
  </si>
  <si>
    <t>1. Desactualización de las herramientas tecnológicas y los sistemas de información.
2. PETIC desarticulado al plan estratégico de la Lotería.
3. Equipos de computo obsoletos o desactualizados tecnológicamente.
4. Inadecuada definición de necesidades y/o requerimientos.
5. Falta de controles adecuados en la verificación y validación de los bienes y servicios comprados.</t>
  </si>
  <si>
    <t>RG-17</t>
  </si>
  <si>
    <t>Posibilidad de afectación económica y reputacional por contar infraestructura tecnólogica que no de respuesta a las necesidades,  oportunidades y estrategias de la Lotería, debido a deficiencias para mantenerla actualizada.</t>
  </si>
  <si>
    <t>1. Ineficiencia administrativa de los procesos
2. Detrimento patrimonial
3. Incremento de costos y gastos de administración
4. Reprocesos en las actividades de las áreas de la Lotería</t>
  </si>
  <si>
    <t>Se estableció periodicidad semestral para realizar control al riesgo, el nivel de ocurrencia es 1, debido a que es la frecuencia de actualización del PETI.
Frente al impacto, es de carácter leve, debido a que la posible materialización del riesgo tendría un valor económico menor al 1% del patrimonio de la Lotería de Bogotá, y la afectación de la imagen se da únicamente para el área de Sistemas.</t>
  </si>
  <si>
    <t>El jefe o el profesional asignado de la OGTI,  por demanda y con el fin de articular, integrar, revisar y analizar las necesidades tecnológicas de otras dependencias, actualizará y cumplirá con la programación del plan anual de adquisiciones, con el fin de garantizar que se cuente con la infraestructura tecnológica que requiere la entidad.
De no realizarse el control, en el momento que se identifique se ejecuta y se corrige inmediatamente.
Como soporte de la ejecución del control, resultará el Plan Anual de Adquisiciones publicado en SECOP II.</t>
  </si>
  <si>
    <t>Procedimiento Elaboración Plan Anual de Aquisiciones PRO-330-236-9</t>
  </si>
  <si>
    <t>Consolidar necesidades de TIC's de las áreas, y presentarlas para que sean incluidas en el Plan Anual de Adquisiciones.</t>
  </si>
  <si>
    <t>Jefe Oficina de Gestión Tecnológica e Innovación</t>
  </si>
  <si>
    <t>El profesional designado de la OGTeI anualmente garantizará la formulación del PETI, con base en las necesidades, oportunidades y estrategias con el fin de definir la estrategia y necesidades tecnológicas de la entidad. 
Si se detectan necesidades y/o estrategias que no fueron incluidas en el PETI, se procederá a actualizarlo y presentarlo ante el CIGYD para su aprobación.
Como soporte de la ejecución del control, resultará el PETI anual publicado en la página web institucional.</t>
  </si>
  <si>
    <t>Procedimiento Plan Estratégico PRO-332-187-8</t>
  </si>
  <si>
    <t>Actualizar y fortalecer el ejercicio de definición del PETI en la Lotería, asegurando su alineación con el plan estratégico de la entidad.
Realizar seguimiento a la ejecución de las actividades del PETI.</t>
  </si>
  <si>
    <t>1. Obsolescencia de la libreria de respaldos.
2. Inadecuada definición de necesidades y/o requerimientos.</t>
  </si>
  <si>
    <t>RSI-01</t>
  </si>
  <si>
    <t>Posibilidad de afectación económica, reputacional y de operación por la no realización de las copias de respaldo, debido a falta de recursos y herramientas tecnológicas para llevar a cabo las copias de respaldo.</t>
  </si>
  <si>
    <t>1. Ineficiencia administrativa de los procesos
2. Detrimento patrimonial
3. Incremento de costos y gastos de administración
4. Reprocesos en las actividades de las áreas de la Lotería
5. Pérdida de información
6. indisponibilidad de las copias de resplado.</t>
  </si>
  <si>
    <t>Se estableció periodicidad mensual para realizar control al riesgo, el nivel de ocurrencia es 0, debido a que el riesgo no se ha materializado.
Frente al impacto, la afectación económica es de carácter leve, debido a que la posible materialización del riesgo tendría un valor económico menor al 1% del patrimonio de la Lotería de Bogotá, la afectación reputacional es moderada, y se incluye también interrupción de la operación por menos de un día.</t>
  </si>
  <si>
    <t>El profesional de la OGTI, los días lunes, miércoles y viernes con el propósito de proteger la información en un sitio alterno externo a la entidad, garantiza el envío de las cintas que contienen los respaldos de información, al proveedor encargado de la custodia de manera física y externa.
En caso de no realizarse el control, las desviaciones se corrigen inmediatamente enviando las cintas pendientes.
Como evidencia se deja soporte de la entrega de las cintas al proveedor.</t>
  </si>
  <si>
    <t>Procedimiento Copias de seguridad PRO-202-211-9</t>
  </si>
  <si>
    <t>Estructurar un proyecto de adquisición y renovación de la solución de respaldo</t>
  </si>
  <si>
    <t>Jefe Oficina de Gestión Tecnológica y de Innovación</t>
  </si>
  <si>
    <t>El profesional de la OGTI cada vez que se requiera, garantizará la realización del soporte y mantenimiento de la herramienta de copias de resplado, con el fin de evitar la pérdida de información.
En caso de no realizarse el mantenimiento, se corrige inmediatamente, realizando el mantenimiento respectivo.
Como soporte de la ejecución del control, se contará con el correo electrónico de evidencia del mantenimiento realizado.</t>
  </si>
  <si>
    <t>Contrato vigente</t>
  </si>
  <si>
    <t xml:space="preserve">Contratar la actualziación de la plataforma  y/o el soporte y mantenimiento de la Plataforma Actual. </t>
  </si>
  <si>
    <t>1. Falla en algoritmos, que permitan saltarse las reglas del negocio y software, o controles ya establecidos, como, por ejemplo, que permia comprar un único número y serie. 
2. Incompatibilidades por actualizaciones no probadas previamente.
3. Uso de versiones no soportadas de sistemas operativos o plataformas
4. Salida a producción de funcionalidades nuevas o  versiones de actualización, sin previa validación y análisis de gestión de cambios.
5. Fallas en los Plugin personalizados del portal web, que pueden permitir, el no control sobre las detecciones de los premios cobrados y habilitar nuevos cobros.</t>
  </si>
  <si>
    <t>RF-18</t>
  </si>
  <si>
    <t>Posibilidad de efecto dañoso sobre recursos públicos por fallas en la disponibilidad, integridad y continuidad de los servicios institucionales prestados a través del portal web y sistema core, ocasionadas por errores técnicos o incidentes de seguridad digital.</t>
  </si>
  <si>
    <t>Pagos indebidos o duplicados de premios.
Hallazgos de entes de control y sanciones por incumplimiento.</t>
  </si>
  <si>
    <t>La periodicidad se estableció de carácter diario ya que se puede materializar en cualquier momento, y para el nivel de ocurrencia se utilizó la línea base sugerida en la Política de Administración del Riesgo.
Frente al impacto, se estableció afectación reputacional de carácter moderado debido a la imagen afectada de la Lotería de Bogotá, y ante qué actores se afectaría la imagen, y afectación económica moderada, ya que podría caer 2 veces el premio mayor</t>
  </si>
  <si>
    <t>El funcionario o contratista designado, por demanda con el fin de realizar pruebas antes de salir a producción realiza las actualizaciones, cambios y desarrollos necesarios en los respectivos ambientes de pruebas, de no realizarse las pruebas no se aprueba el paso a producción hasta que se realicen satisfactoriamente, como evidencia se deja soporte de las pruebas realizadas, como soporte de las accione realizadas, se deja la documentación respectiva. En caso de no realizarse, se escala al líder del proceso, con el fin de tomar las acciones respectivas y corregir la ejecución del control.</t>
  </si>
  <si>
    <t>Revisión y actualización del algoritmo</t>
  </si>
  <si>
    <t>Protección de datos personales y Fiscal</t>
  </si>
  <si>
    <t>1. Una persona no autorizada reciba permisos de acceso a carpetas que no le corresponden y extraiga información de estas</t>
  </si>
  <si>
    <t>RPDP-10</t>
  </si>
  <si>
    <t>Posibilidad de afectación reputacional y  perdida de confidencialidad  por la filtración de información con datos personales  en las carpetas de SharePoint y OneDrive de cada una de las dependencias por parte de los Administradores de la Oficina de Gestion Tecnológica e Innovación, debido a accesos no autorizados.</t>
  </si>
  <si>
    <t>1. Afectacion de la imagen de la entidad.
2. Posible afectación por la filtracion de la información contenida en los activos de información en linea.
2. Apertura de procesos disciplinarios y/o penales para los responsables involucrados.
3. Multas y sanciones.</t>
  </si>
  <si>
    <t>Frente a la periodicidad, se establecio la periodicidad semestral, debido a que aproximadamente se solicita de forma semestral la autorización de activación de nuevos usuarios con permisos administradores, y para el nivel de ocurrencia se utilizó la linea base sugerida en la Política de Administración de Riesgo de la entidad.
Frente al impacto, se estableció la afectación reputacional como catastrófica debido a que la materializacion del riesgo podria conllevar a la afectación de la seguridad de toda la información contenida en las carpetas en la nube de cualquier dependencia de la entidad.</t>
  </si>
  <si>
    <t>La persona encargada de generar los reportes, semestralmente, con el fin de verificar que usuarios son los que deben tener el permiso de administrador revisa los perfiles y usuarios de administración, de no realizarse el control en el momento que se identifique se ejecuta y se corrige inmediatamente. Como evidencia se deja un correo informando al Jefe de la Oficina de Gestión Tecnológica e Innovación las novedades encontradas.</t>
  </si>
  <si>
    <t>2. Ausencia de un acuerdo de confidencialidad por parte de los contratistas y funcionaros de la Oficina de Gestión Tecnológica e Innovación con permisos de Administrador</t>
  </si>
  <si>
    <t>El Jefe de la Oficina de Gestión de Tecnologías e Innovación o su delegado,  semestralmente, con el fin de verificar que el equipo de trabajo suscribió acuerdos de confidencialidad, verifica que el personal contratista o de planta haya suscrito un acuerdo de confidencialidad o se tenga una clausula de confidencialidad en los anexos contractuales de no realizarse el control o en caso de no identificar la suscripción del acuerdo por parte del personal, se solicitará por correo electrónico el cumplimiento de dicha obligación. Como evidencia se dejará el acuerdo de confidencialidad en la ubicación seleccionada para tal fin.</t>
  </si>
  <si>
    <t>1. Una persona reciba acceso no autorizado al directorio activo y extraiga información de estas</t>
  </si>
  <si>
    <t>RPDP-11</t>
  </si>
  <si>
    <t>Posibilidad de afectacion reputacional y perdida de confidencialidad por la filtración de información con datos personales  del directorio activo de la Lotería de Bogotá, debido a accesos no autorizados.</t>
  </si>
  <si>
    <t>Frente a la periodicidad, se establecio la periodicidad semestral, debido a que aproximadamente se solicita de forma semestral la autorización de activación de nuevos usuarios con permisos de modificación en el Directorio Activo, y para el nivel de ocurrencia se utilizó la linea base sugerida en la Política de Administración de Riesgo de la entidad.
Frente al impacto, se estableció la afectación reputacional como catastrófica debido a que la materializacion del riesgo podria conllevar a la filtración de usuarios y contraseñas internas</t>
  </si>
  <si>
    <t>La persona encargada de diligenciar la matriz de usuarios y perfiles semestralmente, con el fin de validar que únicamente las personas que por las obligaciones y/o funciones de su rol dentro de la entidad lo necesiten, revisa que las personas con el rol de administrador son las que deberían poder acceder al Directoria Activo (DA). En caso de identificarse desviaciones a la información conservada en la matriz, se corrigen inmediatamente. Como evidencia se deja un correo informando al Jefe de la Oficina de Gestión Tecnológica e Innovación las novedades encontradas y la matriz de usuarios y perfiles actualizada.</t>
  </si>
  <si>
    <t>Matriz de usuarios y perfiles</t>
  </si>
  <si>
    <t>1. Una persona reciba acceso no autorizado a los aplicativos de la entidad, o se le asignen roles que no le correspondan, y extraiga información de alguna de estas</t>
  </si>
  <si>
    <t>RPDP-12</t>
  </si>
  <si>
    <t>Posibilidad de afectacion reputacional y perdida de confidencialidad por la filtración de información con datos personales de  los aplicativos de la entidad, como el ERP, Aplicativo Comercial, Chanseguro, SIGA, Pagina WEB, entre otros,  debido a accesos no autorizados.</t>
  </si>
  <si>
    <t>Frente a la periodicidad, se establecio la periodicidad trimestral, debido a que aproximadamente se solicita de forma trimestral la autorización de activación de nuevos usuarios en alguno de los diferentes aplicativos de la entidad, y para el nivel de ocurrencia se utilizó la linea base sugerida en la Política de Administración de Riesgo de la entidad.
Frente al impacto, se estableció la afectación reputacional como catastrófica debido a que la materializacion del riesgo podria conllevar a la afectación de la seguridad de toda la información contenida en los aplicativos virtuales de la entidad.</t>
  </si>
  <si>
    <t>El profesional o colaborador designado trimestralmente con el fin de cruzar y mantener actualizada la información de Talento Humano y Contratos con la de los Usuarios del Directorio activo (DA) aplicaciones y bases de datos que no se sincronizan con el DA, compara la información con los reportes de usuarios activos y en caso de encontrar un usuario activo que no esté en los reportes entregados por talento humano y contratos se inhabilita inmediatamente.
De no realizarse el control en el momento que se identifique se ejecuta y se corrige inmediatamente, como evidencia se enviará correo y se envía correo al Jefe de la Oficina y el Oficial de Seguridad informando  el resultado de la actividad realizada. </t>
  </si>
  <si>
    <t>2. Ausencia de un acuerdo de confidencialidad por parte de los contratistas y funcionaros de la Oficina de Gestión Tecnológica e Innovación con acceso al Directorio Activo</t>
  </si>
  <si>
    <t>1. La toma de decisiones de temas asociados al proceso se encuentra concentrados en un único responsable, lo cual impide que se ejecute control sobre las decisiones tomadas
2. Concentración de funciones que pueda interferir con la toma de decisiones del proceso
3. Acceder a presiones u ofrecimientos para que el personal, manipule la información del proceso a efectos de favorecer intereses particulares y/o por conflicto de intereses que puedan beneficiar a un tercero.
4. Posible aplicación inadecuada u omisión de las normas relacionadas con el conflicto de interés.
5. Existe un interés particular de una persona que podría influir en las funciones como servidor público.
6. Existe un interés particular del servidor público que podría influir en sus funciones y obligaciones como servidor público.
7. Tener los documentos físicos almacenados fuera de las instalaciones de la Entidad.
8. No tener claramente definidos e implementados los criterios el control de acceso y consulta de los documentos físicos y electrónicos en el archivo de gestión y archivo central en el proceso
9. Existencia de un interés personal del servidor público o de algún miembro de su familia en alguna situación  en la gestión propia de la entidad para beneficio propio, omitiendo el control al cumplimiento normativo y reglamentario que debe hacerse a la entidad o al cumplimiento de sus funciones.</t>
  </si>
  <si>
    <t>1. Falta de vigilancia de los procesos por parte de los apoderados.
2.. Manipulación de información.      
  3. Inoportuna actuación por parte del abogado responsable del proceso.</t>
  </si>
  <si>
    <t>RG-10</t>
  </si>
  <si>
    <t>Posibilidad de afectación económica a causa de no atender oportunamente las distintas actuaciones que deben surtirse en los procesos judiciales, trámites extrajudiciales y administrativos.</t>
  </si>
  <si>
    <t>1. Investigaciones disciplinarias, fiscales, penales o administrativas en contra de los servidores públicos y/o contratistas de la Lotería de Bogotá. 
2. Sentencias adversas a la Loteria de Bogotá que impongan obligaciones de hacer o pecuniarias.
3.Falta de solidez de la información que genera el Siprojweb frente a los procesos judiciales.
4. Reprocesos jurídicos y financieros.                  5. Inconsistencia en la toma de decisiones.                 6. Pérdida de oportunidad procesal para defender los interes de la Lotería</t>
  </si>
  <si>
    <t>Se definió la periodicidad mensual, y para el nivel de ocurrencia se tomó la línea base establecida en la Política de Administración del Riesgo.
Se escogió que no tiene afectación reputacional dado que el contingente judicial a noviembre de 2025 es inferior al 1% del patrimonio de la entidad</t>
  </si>
  <si>
    <t>El Jefe de la Oficina Jurídica mensualmente hará seguimiento a las actuaciones de los procesos judiciales en reunión con los abogados litigantes, de la cual se levantará acta, con el fin de verificar que se hayan presentado las actuaciones procesales adecuadas en cada etapa del proceso. En el evento en que se identifique que no se realizaron las actuaciones requeridas en etapa procesal específica, se ejecutaran actividades  procesales alternativas de forma inmediata.Como evidencia se dejará constancia del acta de reunión y copia de las acciones judiciales de corrección.  En caso que de encontrar que los abogados litigantes no realizaron las acciones procesales en el momento procesal adecuado,  se requerirá al contratista y se analizará la justa causa para dar por terminado el contrato y se analizará la eficacia de la denuncia del abogado litigante ante el Consejo Superior de la Judicatura.</t>
  </si>
  <si>
    <t>Validar el cumplimiento de la actividad del abogado en la defensa de las distintas etapas del proceso.</t>
  </si>
  <si>
    <t>Oficina Juridica
Trabajadores oficiales y contratistas asignados para apoyar supervisión.</t>
  </si>
  <si>
    <t>Acta</t>
  </si>
  <si>
    <t>1. No registro de la información por parte del abogado responsable del proceso.
2. Pérdida de información.
3. Manipulación de información.
4. Insuficiente información registrada en el Siprojweb</t>
  </si>
  <si>
    <t>RG-19</t>
  </si>
  <si>
    <t>Posibilidad de afectación económica por pérdida de consistencia en la información de los procesos judiciales registrada en Siprojweb por falta, error o carencia  de registro de la información por parte del abogado litigante responsable del proceso</t>
  </si>
  <si>
    <t>1. Falta de solidez de la información que genera el Siprojweb frente a los procesos judiciales.
2. Hallazgos administrativos, disciplinarios, penales y posiblemente fiscales</t>
  </si>
  <si>
    <t xml:space="preserve">Se estableció periodicidad en mensual , de acuerdo a la Resolución 485 de 2023  expedida por la Secretaría Jurídica Distrital sobre Siprojweb, nivel de ocurrencia en 3, ya que el riesgo se ha materalizado 
De otro modo, se estableció el impacto en leve , debido al promedio de las cuantías de los procesos.
De igual modo, se considera que no existe afectación reputacional, toda vez que SiprojWeb es una aplicación de consulta exclusiva para autoridades, no para el público en general. </t>
  </si>
  <si>
    <t xml:space="preserve">El Jefe de la Oficina Juridica mensualmente  realizará seguimiento del estado de los procesos judiciales  descargando los informes de procesos directamente d ela herramienta SiprojWeb, con el fin de verificar que la información se encuetre actualizada.. En caso de evidenciar que la información se encuentra desactualizada  se requerirá al abogado responsable la actualización respectiva para que proceda de forma inmediata a la actualización. Como soporte quedará el SIPROJ debidamente actualizad. La Oficina Jurídica en caso de requerirse solicitará el soporte Técnico al centro de contacto de SIPROJWEB, con el fin que se realicen las asesorías en el manejo del sistema y para solucionar el inconveniente presentado. Como soporte quedará la solución del inconviente presentado. </t>
  </si>
  <si>
    <t>Resolución 104 de 2018, Manual del Usuario de Siprojweb.</t>
  </si>
  <si>
    <t>Solicitar soporte técnico a la Secretaría jurídica Distrital cuando se requiera.</t>
  </si>
  <si>
    <t>Oficina Juridica
Trabajadores y contratistas asignados para apoyar supervisión.</t>
  </si>
  <si>
    <t xml:space="preserve">1.Inoportunidad en el trámite establecido por la Lotería para el pago de sentencias judiciales, laudos arbitrales y conciliaciones extrajudiciales,de conformidad con lo establecido en los procedimientos internos aplicables. </t>
  </si>
  <si>
    <t>RG-20</t>
  </si>
  <si>
    <t>Posibilidad de afectación económica y reputacional por pérdida debido al no pago oportuno en las sentencias, conciliaciones o laudos arbitrales</t>
  </si>
  <si>
    <t>1. Detrimento patrimonial por intereses moatorios           2.Procesos disciplinarios, fiscales
3.  Pérdida de imagen Institucional.
4. procesos de ejecución</t>
  </si>
  <si>
    <t>El Jefe de la Oficina Juridica  realizará seguimiento inmediato del estado de los trámites necesarios para proceder al pago de las sentencias judiciales emitidas en contra de la Lotería, laudos arbitrales y conciliaciones extrajudiciales, con el fin de verificar el cumplimiento oportuno de los precitados pagos. En el evento en que se identifique que el pago no se realizó en el momento oportuno se tomarán las medidas necesarias para minimizar la generación de intereses.  Como soporte quedarán la solicitud y expedición de los documentos contables que soportan el pago (CDP, RP, Orden de pago)</t>
  </si>
  <si>
    <t>Oficina Jurídica
Trabajadores y contratistas asignados para apoyar supervisión.</t>
  </si>
  <si>
    <t>PROCEDIMIENTO PAGO DE SENTENCIAS Y CONCILIACIONES</t>
  </si>
  <si>
    <t xml:space="preserve"> Actuación dolosa de los abogados designados como apoderados  de los procesos en perjuicio de la entidad</t>
  </si>
  <si>
    <t>Posibilidad de afectación económica y reputacional por interés indebido en procesos judiciales en contra de los intereses de la Lotería y favor propio o de terceros</t>
  </si>
  <si>
    <t>1. Detrimento Patrimonial de la del Loteria, 
2. Pérdida de imagen Institucional.
3. Procesos sancionatorios, disciplinarios, fiscales y penales.</t>
  </si>
  <si>
    <t>Se presenta riesgo reputacional, riesgo operativo y posible pérdida económica</t>
  </si>
  <si>
    <t>El Jefe de la Oficina Juridica realizará análisis de la estrategía jurídica de cada proceso, en los momentos procesales claves: escrito de demanda o contestación de la demanda, solicitud y práctica de pruebas y alegatos de conclusión, con el fin de verificar que dicha estratégia defienda única y exclusivamente los intereses de la lotería. Si la estratégia está adecuada a la defensa efectiva de los intereses de la Lotería, se enviará un correo electrónico al abogado designado como apoderado. En el evento en que se identifique que la estratégía jurídica incluye expresa o tácitamente los interes del abogado designado como apoderado o de terceros, el Jefe de la Oficina jurídica expedirpa un documento detalanmdo los hallazgos encontrados y procederá a la terminación inmediata del contrato por incumplimiento de obligaciones contractuales, del deber profesional y de la relación cliente-abogado. El Jefe de la Oficina jurídica deberá designar un nuevo apoderado a la mayor brevedad posible.</t>
  </si>
  <si>
    <t>1. Fallas en la planeación previa al inicio de la actividad de auditoría.
2. Falta de conocimiento del procedimiento vigente de auditoria interna para el desarrollo de las auditorias
3. Inadecuada revisión a los informes de auditoria preliminares.</t>
  </si>
  <si>
    <t>RG-21</t>
  </si>
  <si>
    <t>Posibilidad de afectación reputacional por generar inapropiadamente hallazgos y/u observaciones en los informes de auditoría o de ley y seguimiento, debido a debilidades en el conocimiento o planeación del trabajo de auditoria y/o las relacionadas con la revisión de dichos informes.</t>
  </si>
  <si>
    <t>1. Afectación de la credibilidad respecto de la labor de la OCI.
2. Atrasos en la programación del Plan Anual de Auditorías vigente por reprocesos en la proyección de alcances a los informes definitivos de auditoria radicados.</t>
  </si>
  <si>
    <t>La periodicidad del riesgo se estableció en mensual debido a los seguimientos y auditorías que realiza la Oficina de Control Interno y el análisis de las evidencias e información para los ejercicios adelantados de conformidad con la programación de los trabajos de auditoria enmarcados en el Plan Anual de Auditoria vigente.
El nivel de ocurrencia se estableció en dos, debido a que en la vigencia 2024 se identificaron los siguientes casos de materialización del riesgo de auditoria por alcance en los informes finales radicados: 
a) Auditoria Apuestas con radicado de alcance nro. 3-2024-2113, por debilidades en el análisis de la respuesta al informe preliminar enviado por el proceso auditado
b) Seguimiento plan de transparencia: con radicado de alcance nro. 3-2025-237 por debilidades en la respuesta oportuna a entregar por parte de los procesos que ejecutan las acciones.
Adicionalmente, a mayo de 2025 se ha identificado el siguiente caso:
a) informe austeridad en el gasto público con radicado de alcance nro. 3-2025-863 por debilidades en la confirmación de la información recibida por parte de los procesos
Frente al nivel de impacto no se estableció la afectación económica, por cuanto los reprocesos de generación de alcances a los informes de auditoria se convierte en trabajos adicionales a cubrir por el integrante de la OCI, bien sea trabajador oficial o contratista.</t>
  </si>
  <si>
    <t>El auditor designado en el Plan Anual de Auditoría vigente revisa que la información registrada en los formatos de la fase de planeación de cada auditoria y/o marco legal este vigente (interna y externa) mediante: 1) consulta en la página WEB SISJUR; o, 2) prueba de recorrido con el proceso auditado o solicitud por correo electrónico al proceso, para identificar la vigencia del documento, guía, procedimiento, caracterización, etc.  Si el auditor identifica información derogada, debe ajustar los formatos de planeación y/o marco legal previo al inicio de la fase de ejecución del trabajo de auditoria.
Para las auditorias basadas en riesgos se deja como evidencia el formato FRO102-479-1 Conocimiento del Proceso y su Estructura (informando que se haya consultado el SISJUR o con el proceso auditado mediante prueba de recorrido o correo electrónico de la vigencia de los documentos o del marco legal); Para trabajos de auditoria diferentes a las basadas en riesgos el pantallazo de la consulta realizada en SISJUR de la normatividad relacionada en el marco legal descrito en el formato FRO102-484-1 Informe de ley o seguimiento.</t>
  </si>
  <si>
    <t xml:space="preserve">Procedimiento Auditorias Internas PRO-102-253, actividad 2 "Efectuar conocimiento del proceso a evaluar" </t>
  </si>
  <si>
    <t>Realizar las consultas en el SISJUR del marco legal o al proceso auditado, mediante correo electrónico o prueba de recorrido, de la vigencia de la documentación interna.</t>
  </si>
  <si>
    <t>Auditor líder designado en el Plan Anual de Auditoría.</t>
  </si>
  <si>
    <t>El auditor designado en el Plan Anual de Auditoría vigente revisa en conjunto con el responsable y/o personal del proceso auditado a través de una o varias reuniones presenciales o virtuales, o remite por correo electrónico, los hallazgos y/u observaciones identificadas en la fase de ejecución de los trabajos de auditoria o informe de ley o seguimiento previa radicación del informe preliminar, aclarando las inconformidades, inquietudes o dudas formuladas por el proceso auditado. Si se identifican rechazos de los hallazgos u observaciones en la reunión o como respuesta del correo electrónico, el auditor líder solicita la información y/o documentación que los desvirtué para analizarla y en caso a que haya lugar, se retira o confirma.
Como evidencia se deja  el acta de reunión o traza de correos electrónicos entre el auditor líder y el equipo del proceso auditado o pantallazo del chat de Teams de las reuniones programadas donde se refleje el registro de los resultados de la sesión.</t>
  </si>
  <si>
    <t xml:space="preserve">Procedimiento Auditorias Internas PRO-102-253, actividad  9 "Validación de los hallazgos y/u  observaciones de auditoría </t>
  </si>
  <si>
    <t>Elaborar las actas de reunión entre el auditor líder y el equipo del proceso auditado donde se evidencie el registro de los resultados obtenidos en la revisión de los hallazgos y/u observaciones identificadas, y/o,
Generar las capturas de pantalla donde se refleje el registro de los resultados obtenidos en la reunión de revisión de los hallazgos y/u observaciones identificadas, entre el auditor líder y el equipo del proceso auditado, y/o,
Generar en formato PDF. la traza de correos electrónicos donde se refleje el registro de los resultados obtenidos en la  revisión de los hallazgos y/u observaciones identificadas, entre el auditor líder y el equipo del proceso auditado.</t>
  </si>
  <si>
    <t>El jefe de la Oficina de Control Interno en la fase de comunicación de resultados revisa la redacción, consistencia y coherencia de los hallazgos y/u observaciones registradas en el informe preliminar de auditoria o informe de ley o de seguimiento previa radicación de este en el SIGA; esta revisión puede efectuarse a través reuniones presenciales o por Teams o mediante correos electrónicos enviados por el jefe OCI al auditor designado con la revisión efectuada. Si se identifican aspectos de mejora en la redacción, consistencia y/o coherencia en los hallazgos u observaciones consignados en el informe preliminar o informe de ley o de seguimiento, se dejará constancia en el chat de la reunión por teams, en el acta de reunión o en el correo electrónico.</t>
  </si>
  <si>
    <t>Procedimiento Auditorias Internas PRO-102-253 Actividad 10 "Elaboración y envió del informe preliminar de auditoría al proceso auditado"</t>
  </si>
  <si>
    <t>Elaborar las actas de reunión entre el auditor líder y el jefe OCI donde se evidencie el registro de los resultados obtenidos en la revisión de los hallazgos y/u observaciones identificadas, y/o,
Generar las capturas de pantalla donde se refleje el registro de los resultados obtenidos en la reunión de revisión de los hallazgos u observaciones identificadas, entre el auditor líder y/u jefe OCI, y/o,
Presentar en PDF el correo electrónico enviado por el jefe OCI al auditor designado con los aspectos de mejora a tener en cuenta en los hallazgos y/u observaciones identificadas.</t>
  </si>
  <si>
    <t>1. Insuficiencia de personal en OCI que apoye la ejecución del Plan Anual de Auditorías - PAA, aprobado.
2. Ejecución de actividades  no contempladas inicialmente en el Plan Anual de Auditorías que afectan el cronograma y programación inicial de actividades</t>
  </si>
  <si>
    <t>RG-22</t>
  </si>
  <si>
    <t>Posibilidad de afectación Reputacional por incumplir en el 10%  o en un mayor porcentaje con la ejecución del Plan Anual de Auditorias debido a Insuficiencia de personal en OCI que apoye la ejecución de dicho plan y la ejecución de actividades  no contempladas inicialmente que afectan el cronograma inicial de actividades</t>
  </si>
  <si>
    <t>1. Incumplimiento como tercera línea de defensa de la entidad.
2. Disminución de calificación en el Índice de Desempeño Institucional y/o Índice de Control Interno que se miden a través del Formulario Único de Reporte y Avance a la Gestión - FURAG.
3. Hallazgos entes de control externo.</t>
  </si>
  <si>
    <t>El nivel de ocurrencia se estableció en dos, debido a que al menos dos veces en el año 2024 hubo modificaciones del Plan Anual de Auditoría, debido a: 1) la disminución de un contratista por la no aprobación de recursos que ya estaban programados en el Plan Anual de Adquisiciones y 2) la carga de actividades programadas en noviembre.
Adicionalmente, en 2025 se ha realizado una modificación del plan inicialmente aprobado en diciembre de 2024 pero con la disminución del presupuesto de un contratista (ing. sistemas).
Frente al nivel de impacto no se estableció afectación económica dado que el Plan Anual de Auditoría no es estático, sino es susceptible de modificación.</t>
  </si>
  <si>
    <t>El Jefe de Control interno en reunión mensual con los integrantes de la OCI, verifica si se  presentan atrasos y se identifican las dificultades para el cumplimiento de actividades programadas en el Plan Anual de Auditoria - PAA vigente (como por ejemplo:  ejecutar otras actividades no programadas en el PAA, atrasos en la información solicitada). 
En caso de presentar atrasos se concertarán con los auditores designados el plan de trabajo para el cumplimiento de las actividades o se priorizarán las actividades críticas que deben ejecutarse y redistribuye las actividades faltantes para dar cumplimiento al PAA, teniendo en cuenta la especialidad de la actividad y la formación académica o de experiencia de los auditores.
Como evidencia se tienen acta de reunión presencial y/o virtual (pantallazo del chat de Teams) o correos institucionales donde se redistribuyen las actividades priorizadas del PAA.</t>
  </si>
  <si>
    <t>Procedimiento Plan Anual de Auditoria PRO-102-340, actividad 6 "Seguimiento al PAA"</t>
  </si>
  <si>
    <t>Elaborar las actas de reunión presencial o virtual (chat de Teams) donde se refleje el seguimiento realizado al cumplimiento del Plan Anual de Auditoria vigente o correos electrónicos donde se redistribuye las actividades del Plan Anual de Auditorias</t>
  </si>
  <si>
    <t>Integrantes OCI
(auditor que realice las notas en el chat de la reunión o que levante el acta de reunión
Jefe OCI
Correo electrónico enviado a los integrantes OCI con la redistribución de actividades</t>
  </si>
  <si>
    <t>El Jefe de Control interno valida y revisa trimestralmente la redistribución y reprogramación de las nuevas o presentes actividades del PAA - Plan Anual de Auditoria con los integrantes de la OCI mediante reunión interna presencial o virtual y presenta ante el Comité Institucional de Coordinación de Control Interno - CICCI la autorización para su modificación (inclusión, reprogramación o retiro).  En caso de no aprobación o aprobación parcial, se priorizan las actividades con mayor nivel de importancia.
Como evidencia se tienen el acta de reunión interna OCI y si procede alguna modificación del Plan Anual de Auditoria, el acta de comité CICCI donde se incluya la solicitud de modificación (inclusión, reprogramación o retiro) con la justificación.</t>
  </si>
  <si>
    <t>Procedimiento Plan Anual de Auditoria PRO-102-340, actividad 7 "se autoriza ajuste"</t>
  </si>
  <si>
    <t>Elaborar las actas de reunión presencial o virtual (chat de Teams) donde se refleje la revisión y validación de inclusiones, redistribuciones, reprogramaciones o retiro de actividades en el Plan Anual de Auditoria vigente.
Elaborar el acta de comité CICCI de la solicitud de inclusiones redistribuciones,  reprogramaciones o retiro de actividades en el Plan Anual de Auditoria vigente</t>
  </si>
  <si>
    <t>Integrantes OCI
(auditor que realice las notas en el chat de la reunión o que documente el acta de reunión y de comité CICCI)</t>
  </si>
  <si>
    <t>1. Falta total o parcial de la documentación cargada a la carpeta compartida, SharePoint u OneDrive del proceso Evaluación Independiente y Control a la Gestión que soporte el cumplimiento de las actividades ejecutadas del Plan Anual de Auditorías y documentos propios del proceso.
2. No realizar copias de seguridad de la información cargada por la OCI a la carpeta compartida, SharePoint o OneDrive.</t>
  </si>
  <si>
    <t>RSI-02</t>
  </si>
  <si>
    <t>Posibilidad de afectación económica y reputacional por  la pérdida de disponibilidad de la información generada por los integrantes de la OCI debido a la falta total o parcial de la documentación cargada a la carpeta compartida, SharePoint u OneDrive del proceso Evaluación Independiente y Control a la Gestión y la no generación de copias de seguridad de la información.</t>
  </si>
  <si>
    <t>1. Pérdida de disponibilidad de la información.
2. Pérdida de información relevante para contestar requerimientos de entes de control externo.
3. Pérdida de evidencias que soporten el cumplimiento del Plan Anual de Auditoria.</t>
  </si>
  <si>
    <t>El nivel de ocurrencia se estableció en uno, debido a que entre enero de 2024  y mayo de 2025 no se han detectado debilidades con la disponibilidad de la información en la carpeta compartida de la Oficina de Control Interno. No obstante, mediante correo electrónico del 31 de marzo de 2025 se solicitó a la jefe Gestión TIC el análisis de viabilidad para migrar de la carpeta compartida a carpeta de OneDrive o SharePoint.
Frente al nivel de impacto se estableció afectación económica dado que la información es producida por el recurso humano (tanto de planta como OPS) los cuales reciben remuneración o pago por honorarios.</t>
  </si>
  <si>
    <t>El jefe de Control interno trimestralmente compara un reporte en Excel diligenciado por los integrantes de la OCI (columna ARCHIVO DIGITAL) que contiene el seguimiento al cumplimiento del Plan Anual de Auditoria vigente, frente a la consulta realizada en la carpeta compartida interna, SharePoint u OneDrive para corroborar que la información haya sido cargada. En caso de identificar diferencias en la comparación de la información cotejada se solicitará completar lo faltante a los integrantes de la OCI, mediante correos electrónicos y/o reuniones internas OCI.
Como evidencia se tienen los correos que se cursen entre el auditor y el jefe OCI, o actas de reunión  internas presenciales o virtuales (pantallazo chat de reunión en teams).</t>
  </si>
  <si>
    <t>No aplica</t>
  </si>
  <si>
    <t>Elaborar las actas de reunión presencial o virtual (chat de Teams) donde se refleje la comparación de la información (reporte vs. consulta)
Diligenciar y reportar el archivo Excel donde se registra el cumplimiento del Plan Anual de Auditorias - campo (columna ARCHIVO DIGITAL) y campo (OBSERVACIONES JEFE OCI).
Presentar en PDF los correo electrónicos enviados por el jefe OCI a los integrantes de OCI con los resultados de la comparación de información con el fin de subsanar las diferencias.</t>
  </si>
  <si>
    <t>Jefe de Control Interno e integrantes de OCI</t>
  </si>
  <si>
    <t>El auditor designado  mensualmente revisa la respuesta a la solicitud  enviada mediante correo electrónico a la Oficina de Gestión Tecnológica, del log del backup de la carpeta compartida, SharePoint u OneDrive (copia de instancia) de la Oficina de Control Interna donde se alojan los archivos generados por los integrantes OCI. 
En caso de no recibir respuesta y/o identificar que no se realiza el backup, se enviará un correo electrónico con copia a la Gerencia General informando el incumplimiento y solicitando se cumpla con la ejecución del back up.
Como evidencia, los correos electrónicos remitidos por el auditor designado OCI al personal del la Oficina de Gestión Tecnológica.</t>
  </si>
  <si>
    <t>Presentar en PDF los correo electrónicos enviados y recibidos entre el auditor designado de la OCI y la Oficina de Sistemas</t>
  </si>
  <si>
    <t xml:space="preserve">Auditor designado </t>
  </si>
  <si>
    <t xml:space="preserve">Posibilidad de afectación  reputacional debido a no presentar, o presentar informes o dar respuesta a requerimientos de entes externos por fuera de los términos establecidos, debido al desconocimiento de plazos para la presentación </t>
  </si>
  <si>
    <r>
      <t xml:space="preserve">El líder del proceso mensualmente verificará los informes que su proceso deba remitir, mediante la Matriz de Comunicaciones, con el fin de reportar la información en los tiempos previstos por Ley, y este a su vez enviará o designará a un auditor de su oficina para enviar un correo electrónico a la Oficina Asesora de Planeación por lo menos trimestralmente, indicando el cumplimiento de los informes del proceso Evaluación Independiente y Control a la Gestión relacionados en la matriz.
Si se detectan desviaciones en el control, es decir, 
1) si se identifica que la información en la matriz de comunicaciones está desactualizada, el líder del proceso o un auditor de su oficina, solicitará la actualización ante el área de Comunicaciones y Mercadeo; 
2) Si se identifica incumplimiento de algún reporte en los tiempos previstos, de manera inmediata, el líder del proceso o un auditor de su oficina, realizará el reporte de información registrada en la matriz de comunicaciones y diligenciará y enviará los formatos de materialización de riesgos a la Oficina de Planeación Estratégica.
Como evidencia, los correos electrónicos </t>
    </r>
    <r>
      <rPr>
        <u/>
        <sz val="12"/>
        <rFont val="Calibri"/>
        <family val="2"/>
      </rPr>
      <t xml:space="preserve">trimestrales </t>
    </r>
    <r>
      <rPr>
        <sz val="12"/>
        <rFont val="Calibri"/>
        <family val="2"/>
      </rPr>
      <t>remitidos por el líder del proceso o un auditor designado, al personal de la Oficina Asesora de Planeación con el reporte de cumplimiento o incumplimiento de los informes contenidos en la matriz de comunicaciones.</t>
    </r>
  </si>
  <si>
    <t>Presentar en PDF los correo electrónicos enviados a la Oficina Asesora de Planeación de manera trimestral</t>
  </si>
  <si>
    <t>Jefe de Control Interno e integrantes de la OCI</t>
  </si>
  <si>
    <t>1. Ausencia de la certificación de independencia y objetividad en los trabajos de auditoria suscritas por contratistas y personal de planta de la Oficina de Control Interno.</t>
  </si>
  <si>
    <t>RPDP-13</t>
  </si>
  <si>
    <t>Posibilidad de efecto dañoso sobre recursos públicos  por vulneración de la confidencialidad de datos sensibles de trabajadores, contratistas, distribuidores, loteros y ganadores, ocasionada por errores en los procesos de auditoría o filtración de información.</t>
  </si>
  <si>
    <t>1.Deterioro de la imagen institucional.
2.Procesos disciplinarios contra responsables.
3. Multas y sanciones por responsabilidad civil y administrativa.</t>
  </si>
  <si>
    <t>Se estableció la periodicidad mensual, debido a que las auditorias se ejecutan mes a mes, teniendo en cuenta la programación del Plan Anual de Auditorías vigente.
La afectación reputacional es moderada debido a que la materialización del riesgo conllevaría a la afectación en la imagen de la entidad con algunos usuarios de relevancia frente al logro de los objetivos</t>
  </si>
  <si>
    <t>El jefe de la Oficina de Control Interno, al inicio de los contratos de orden de prestación de servicios y entrada en vigencia del Plan Anual de Auditorias, verifica que el personal contratista o de planta haya suscrito la certificación de independencia y objetividad. 
Como evidencia estará a disposición la certificación en cada vigencia, la cual se conservara en la carpeta compartida electrónica de la Oficina de Control Interno.
En caso de no identificar la suscripción de la certificación por parte del personal, se solicitara por correo electrónico el cumplimiento de dicha obligación.</t>
  </si>
  <si>
    <t>Resolución interna nro. 100 de 2023 "(…) estatuto de auditoria interna y código (…) artículo 5</t>
  </si>
  <si>
    <t>Estará a disposición la certificación de independencia en cada vigencia de los contratistas y personal de planta, la cual se conservara en la carpeta compartida electrónica de la Oficina de Control Interno.</t>
  </si>
  <si>
    <t>Jefe Control Interno</t>
  </si>
  <si>
    <t xml:space="preserve">2. Dar a conocer en los informes de auditoria publicados en el botón de transparencia de la entidad, los datos sensibles de los trabajadores,  contratistas de la entidad, proveedores, distribuidores, loteros y ganadores </t>
  </si>
  <si>
    <t>El auditor líder que construyó el informe de auditoria a publicar en el botón de transparencia de la entidad, revisa que dicho documento no contenga información que pueda vulnerar la confidencialidad de los datos sensibles de los trabajadores,   contratistas de la entidad, proveedores, distribuidores, loteros y  ganadores
En caso de identificar que pueda vulnerarlos, solicitará al jefe OCI por correo electrónico que el informe de auditoria no sea publicado en la página web, sino que en cambio sea publicada la presentación en PowerPoint proyectada en la reunión de cierre de auditoria, dado que este archivo contiene los resultados generales y no los específicos de la auditoria, o sean censurados con "xxxxxx" y sombreados en color negro los apartes de los informes que vulneren la confidencialidad de los datos sensibles de los trabajadores,  contratistas de la entidad, proveedores, distribuidores, loteros y  ganadores.
Como evidencia, 1) los correos electrónicos del auditor líder al jefe OCI indicando sobre la no publicación del informe o indicando que serán censurados con "xxxx" y sombreados en color negro los apartes del informe que vulneren la confidencialidad de los datos sensibles; o 2) los correos electrónicos del auditor líder para la publicación de los informes y allí sea indicado que estos no contienen información que vulnere la confidencialidad de los datos sensibles de los trabajadores,  contratistas de la entidad, proveedores, distribuidores, loteros y  ganadores.</t>
  </si>
  <si>
    <t>Procedimiento Auditorias Internas PRO-102-253 Actividad 15 "Publicar el informe de
auditoría definitivo en la
página Web de la Entidad:
en Transparencia"</t>
  </si>
  <si>
    <r>
      <t xml:space="preserve">En caso de identificar que se pueda vulnerar la confidencialidad de los datos sensibles de los trabajadores,   contratistas de la entidad, proveedores, distribuidores, loteros y/o  ganadores, el auditor líder solicitará al jefe OCI por correo electrónico en el informe de auditoria que este no sea publicado en la página web.
</t>
    </r>
    <r>
      <rPr>
        <b/>
        <sz val="12"/>
        <rFont val="Calibri"/>
        <family val="2"/>
      </rPr>
      <t xml:space="preserve">
</t>
    </r>
    <r>
      <rPr>
        <sz val="12"/>
        <rFont val="Calibri"/>
        <family val="2"/>
      </rPr>
      <t>En el correo de publicación del informe el auditor líder indicará en dicha comunicación que la información a publicar no contiene datos sensibles.</t>
    </r>
  </si>
  <si>
    <t>Este riesgo es transversal a los procesos y no fue identificado propiamente en el proceso de Evaluación Independiente y Control a la Gestión.
No obstante, para el 2025 se informó al jefe OCI sobre un posible conflicto de interés de uno de los auditores, el cual fue respondido tal como lo establece el procedimiento Gestión del Conflicto de Interés</t>
  </si>
  <si>
    <t>Estará a disposición los documentos soporte del análisis del conflicto de interés, los cuales también se comparten con la Secretaría General  y/o Unidad de Talento Humano y Oficina Oficial de Cumplimiento</t>
  </si>
  <si>
    <t>Documentos del análisis del caso posible conflicto de interés</t>
  </si>
  <si>
    <t>1. Desconocimiento de los términos de ley para dar repuesta a las PQRS.
2. No tramitar de manera oportuna la respuesta a la PQRS por parte del responsable.
3. Desconocimiento del manejo del Sistema Distrital para la Gestión de Peticiones Ciudadanas - Bogotá te escucha.</t>
  </si>
  <si>
    <t>Se estableció la periodicidad mensual, dado que para el caso del proceso Evaluación Independiente y Control a la Gestión es relativa la asignación de PQRS y a la fecha no se han presentado inoportunidades en la respuesta de PQRS asignadas o en la información a entregar para consolidar la respuesta de la PQRS por parte de otros procesos
Frente al impacto, se definió teniendo en cuenta que la materialización del riesgo afectaría la imagen reputacional del área que no responda de manera oportuna la PQRS.</t>
  </si>
  <si>
    <t>El Jefe de área cada vez que reciba una PQRS para su respectiva gestión, verificará los términos de Ley para dar respuesta a las mismas, con el objetivo de evitar retrasos en la oportunidad del trámite correspondiente. En caso de no conocer el termino para dar la respuesta o la utilización del Sistema Bogotá Escucha -SDQS, solicitará por correo electrónico ayuda al área de atención al cliente para cubrir las inquietudes y responder con calidad y oportunidad la PQRS
En caso de la no gestión oportuna en la respuesta a las PQRS, una vez identificada la respuesta fuera de términos de Ley, se responderá de manera inmediata, y se informará sobre la materialización del riesgo a las oficinas de Control Interno y Planeación a través del diligenciamiento de los formatos correspondientes en conjunto con el área de Atención al Cliente, quien remitirá los formatos correspondientes.
Como soporte de la ejecución del control, se contará con las respuestas oportunas a PQRS tramitadas por correo electrónico, correos electrónicos al área de atención al cliente, SIGA y el Sistema Distrital para la Gestión de Peticiones Ciudadanas - Bogotá Te Escucha.</t>
  </si>
  <si>
    <t>Correos electrónicos con las respuestas a PQRS o entregas de información para consolidación de estas por parte de otros procesos</t>
  </si>
  <si>
    <t xml:space="preserve">PDF de correos electrónicos  de respuesta a PQRS o correos electrónicos con la entrega de información para consolidar la respuesta de las PQRS por parte de otros procesos </t>
  </si>
  <si>
    <t>1. Transcurrir 5 años a partir de la ocurrencia de los hechos, sin que se haya proferido auto de investigación disciplinaria.
2. Alta carga de procesos disciplinarios.
3. Carencia de los controles frente a los procesos disciplinarios próximos a caducar.
4. Demora en el suministro de las pruebas documentales.
5. Negligencia del talento humano de la Oficina de Control Disciplinario Interno</t>
  </si>
  <si>
    <t>RG-23</t>
  </si>
  <si>
    <r>
      <t>Posibilidad de afectación reputacional por prescripción de la acción disciplinaria debido a que transcurrieron 5 años a partir de la ocurrencia de los hechos</t>
    </r>
    <r>
      <rPr>
        <u/>
        <sz val="12"/>
        <color indexed="10"/>
        <rFont val="Calibri"/>
        <family val="2"/>
      </rPr>
      <t xml:space="preserve"> .</t>
    </r>
  </si>
  <si>
    <t>1. Impunidad de los hechos presuntamente irregulares.
2. Posibles investigaciones disciplinarias a los instructores del proceso prescrito.
3. Incumplimiento de acuerdos de gestión y de los objetivos del proceso de Control Disciplinario Interno.</t>
  </si>
  <si>
    <t>Se escogió la periodicidad bimestral para que coincida con la ejecución del control y la línea base de 2, acorde con lo sugerido por la política de admon. del riesgo de la entidad.
Frente al área de afectación, sólo aplica la rfeputacional debido a la naturaleza del riesgo y se estableció en "menor"debido a que sólo afectaría la imagen de la entidad internamente, de conocimiento general nivel interno, de junta directiva y accionistas y/o de proveedores.</t>
  </si>
  <si>
    <t>El Jefe de la Oficina de Control Disciplinario Interno, y su profesional de apoyo, bimestralmente, verificarán las actuaciones disciplinarias con el fin de evaluarlas, mediante la actualización de la base de datos de procesos, a efectos de evitar la prescripción de la acción disciplinaria. 
Si se identifica un proceso que está próximo a prescribir, el Jefe de la Oficina de Control Disciplinario Interno y su profesional de apoyo proceden inmediatamente a evaluarlo y emitir la decisión que en derecho corresponda.
Como soporte de la ejecución, una vez proferida la decision, se actualiza la base de datos de procesos disciplinarios donde se evidencia que la fecha de esta es anterior a la fecha de prescripción.</t>
  </si>
  <si>
    <t>Procedimiento Control Disciplinario Interno</t>
  </si>
  <si>
    <t>Posibilidad de afectación reputacional debido al ofrecimiento, por parte del investigado, de dádivas u otro tipo de incentivos para obtener como beneficio, propio o de terceros, una decisión favorable dentro del proceso disciplinario.</t>
  </si>
  <si>
    <t>1. Posibles investigaciones disciplinarias.
2. Posibles investigaciones penales.
3. Impunidad en los procesos disciplinarios.
4. Afectación reputacional de la entidad.</t>
  </si>
  <si>
    <t>Se escogió la periodicidad diaria, debido a que que el riesgo puede materializarse en cualquier momento. 
El nivel de ocurrencia se estableció en 0 debido a que nunca se ha materializado. 
Frente al área de afectación, sólo aplica la reputacional debido a la naturaleza del riesgo y se estableció en "mayor"debido al impacto que tendría la materialización de este riesgo de corrupción a la imagen de la entidad.</t>
  </si>
  <si>
    <t>El Jefe de la Oficina de Control Disciplinario Interno, y su profesional de apoyo, una vez ocurrido el hecho, procederán a interponer la respectiva denuncia ante las autoridades competentes, con el fin de que se adelanten las investigaciones y se apliquen las sanciones a que haya lugar, en caso de que por parte de algún investigado se realice algun ofrecimiento, dádiva o cualquier otro beneficio, a cambio de que se tome una decisión dentro de un proceso disciplinario,  en beneficio propio o de un tercero.
Si se identifica que existió un ofrecimiento contrario a derecho por parte del investigado, se compulsarán copias ante la autoridad penal y disciplinaria.
Las copias de la denuncia se conservarán en el archivo documental de la oficina, como soporte de la ejecución del control.</t>
  </si>
  <si>
    <t>Política anticorrupción y gestión antisoborno de la Lotería de Bogotá</t>
  </si>
  <si>
    <t xml:space="preserve">1. Retiro no autorizado de algún expediente disciplinario por parte de un tercero o el profesional de apoyo de la oficina.
2. Pérdida de expedientes por razón de traslado de la oficina a otras instalaciones.
</t>
  </si>
  <si>
    <t>RG-24</t>
  </si>
  <si>
    <t>Posibilidad de afectación reputacional por pérdida del expediente disciplinario, debido al retiro no autorizado de expedientes por parte de un tercero o el profesional de apoyo de la oficina o por traslado de la dependencia a otras instalaciones.</t>
  </si>
  <si>
    <t>1. Impunidad de los hechos materia de investigación.
2. Posibles investigaciones disciplinarias a los instructores del proceso perdido.
3. Incumplimiento de acuerdos de gestión y de los objetivos del proceso de Control Disciplinario Interno.</t>
  </si>
  <si>
    <t>Se escogió la periodicidad diaria, debido a que que el riesgo puede materializarse en cualquier momento. 
El nivel de ocurrencia se estableció en 0 debido a que nunca se ha materializado. 
Frente al área de afectación, sólo aplica la reputacional debido a la naturaleza del riesgo y se estableció en "leve" debido a que el riesgo solo afecta la imagen de algún área de la organización</t>
  </si>
  <si>
    <t xml:space="preserve">El Jefe de la Oficina de Control Disciplinario Interno, y su profesional de apoyo, bimestralmente, verificarán la existencia de los procesos disciplinarios confrontandolos con la base de datos de la dependencia, con el fin de verificar que los mismos coincidan.
Si se identifica la pérdida de un proceso, el Jefe de la Oficina de Control Disciplinario Interno y su profesional de apoyo procederán inmediatamente a abrir la correspondiente investigación y a ordenar la reconstrucción del expediente.
Como soporte de la ejecución del control,  una vez realizada la verificación, se actualiza la base de datos de procesos disciplinarios donde se evidencia la existencia física de los procesos a cargo de la dependencia.
</t>
  </si>
  <si>
    <t>Ley 1952 de 2019</t>
  </si>
  <si>
    <t xml:space="preserve">Posibilidad de afectación reputacional debido a no presentar, o presentar informes o dar respuesta a requerimientos de entes externos por fuera de los términos establecidos, debido al desconocimiento de plazos para la presentación </t>
  </si>
  <si>
    <t>1. Incumplimiento de plazos ante entes de control.
2. Investigaciones disciplinarias</t>
  </si>
  <si>
    <t>1. Divulgacion no autorizada por parte del personal de apoyo a la Oficina de Control Disciplinario Interno de los procesos disciplinarios que se adelanten.</t>
  </si>
  <si>
    <t>RPDP-14</t>
  </si>
  <si>
    <t>Posibilidad de afectacion reputacional por incurrir en fallas en el principio de seguridad y confidencialidad en el tratamiento de los datos personales recolectados en el proceso disciplinario, causado por acceso no autorizado o filtración de esta información por parte de alguno de sus responsables.</t>
  </si>
  <si>
    <t>1. Afectacion de la imagen del personal de la entidad.
2. Apertura de procesos disciplinarios para los responsables involucrados.
3. Multas y sanciones por acciones civiles y penales.</t>
  </si>
  <si>
    <t>Se establecio la periodicidad bimestral, teniendo en cuenta que en este periodo se realiza la revision de la existencia fisica de los expedientes al interior de la OCDI.
La afectación reputacional es moderada debido a que la materializacion del riesgo conllevaria a la afectacion del personal interno de la entidad.</t>
  </si>
  <si>
    <r>
      <rPr>
        <sz val="12"/>
        <rFont val="Calibri"/>
        <family val="2"/>
      </rPr>
      <t>Cada vez que se deba retirar un expediente disciplinario de las instalaciones de la entidad, el Jefe de la OCDI debe remitir un correo electrónico de autorización de retiro del expediente dirigido</t>
    </r>
    <r>
      <rPr>
        <sz val="12"/>
        <color indexed="8"/>
        <rFont val="Calibri"/>
        <family val="2"/>
      </rPr>
      <t xml:space="preserve"> a vigilancia, con el fin de evitar un retiro no autorizado.
Si se evidencia el intento de retiro no autorizado, se debe comunicar inmediatamente al Jefe de la OCDI para el trámite pertinente.
Como soporte del control, se contará con los correos electrónicos de autorización de retiro de expedientes disciplinarios.</t>
    </r>
  </si>
  <si>
    <t>2. Retiro no autorizado por parte un tercero dentro de la entidad (contratistas y funcionarios) de cualquiera de los expedientes de procesos disciplinarios que se adelantan en la Oficina de Control Disciplinario Interno.</t>
  </si>
  <si>
    <t>De manera bimestral el Jefe de la OCDI realizará el control de la existencia fisica de los procesos al interior de su dependencia, para hacer seguimiento y control frente a cualquier perdida de alguno de ellos. 
Como decisión sobre la desviación, es decir, en el caso de que se evidencie pérdida de alguno de los expedientes, se procederá conforme al procedimiento reglamentado en la norma de archivo general. Iniciando con la denuncia penal y la reconstrucción del expediente.
Como evidencia se alimenta la matriz de control de procesos de la OCDI.</t>
  </si>
  <si>
    <t>3. Entrega no autorizada a un tercero a la entidad de los expedientes de procesos disciplinarios que se adelantan en la Oficina de Control Disciplinario Interno.</t>
  </si>
  <si>
    <r>
      <t>Cada vez que un ente de control o autoridad judicial solicite información al Jefe de la OCDI, antes de enviar la respectiva respuesta</t>
    </r>
    <r>
      <rPr>
        <strike/>
        <sz val="12"/>
        <rFont val="Calibri"/>
        <family val="2"/>
      </rPr>
      <t>s</t>
    </r>
    <r>
      <rPr>
        <sz val="12"/>
        <rFont val="Calibri"/>
        <family val="2"/>
      </rPr>
      <t>, este verificará que la solicitud haya sido realizada a traves de un correo institucional autorizado y por parte del funcionario competente para hacerlo. 
En caso de identificar que la solicitud no fue realizada desde un correo institucional autorizado o que el funcionario que la realiza no es competente para ello, el Jefe de la oficina procederá a rechazar el requerimiento y a explicar el motivo de la decisión.
Como evidencia se conserva el oficio de la solicitud y los correos de respuestas.</t>
    </r>
  </si>
  <si>
    <t>Cumplimiento y Gestión LA/FT/FPADM, Anticorrupción y Antisoborno</t>
  </si>
  <si>
    <t>Desconocimiento de normas de tratamiento de datos personales.</t>
  </si>
  <si>
    <t>RPDP-15</t>
  </si>
  <si>
    <t>Posibilidad de afectación reputacional  por incurrir en fallas en el principio de libertad, seguridad y confidencialidad para el tratamiento de los datos personales en las bases de datos de la entidad,  causado por el desconocimiento de la normatividad en materia de tratamiento de datos personales por parte de los responsables de su tratamiento.</t>
  </si>
  <si>
    <t>Se establecio la periodicidad diaria, debido a que las diferentes dependencias de la entidad realizan tratamiento de datos personales de manera diaria manera diaria, y para el nivel de ocurrencia se usó la linea base sugerida por la política de administración de riesgos.
La afectación reputacional es alta debido a que la información afectada debido a que el mala tratamiento de datos personales puede terminar afectando a los dueños de la información de manera negativa.</t>
  </si>
  <si>
    <r>
      <rPr>
        <sz val="12"/>
        <rFont val="Calibri"/>
        <family val="2"/>
      </rPr>
      <t>El Oficial de Protección de Datos Personales o quien haga su veces, capacitará anualmente al personal de la Lotería de Bogotá en materia de tratamiento de datos personales.
La capacitación será evaluada, y en caso de que no se tenga un resultado aprovatorio en la evaluación, se procedera a recapacitar al personal para subsanar las falencias detectadas.
Como evidencia se conservan los resultados de las evaluaciones, las cuales son conservadas de manera digital por la Unidad de Talento Humano.</t>
    </r>
  </si>
  <si>
    <t>Procedimiento PRO320-223 Capacitación y Formación</t>
  </si>
  <si>
    <t>El Oficial de Protección de Datos Personales, capacitará anualmente al personal de la Lotería de Bogotá en materia de tratamiento de datos personales.
La capacitación será evaluada, y en caso de que no se tenga un resultado aprovatorio en la evaluación, se procedera a recapacitar al personal para subsanar las falencias detectadas.</t>
  </si>
  <si>
    <t>Oficial de Protección de Datos de la Lotería de Bogotá-Jefe Oficina Jurídica</t>
  </si>
  <si>
    <t xml:space="preserve">El Tesorero General, cada vez que requiera realizar una apertura o cierre de cuentas bancarias, solicita  la autorización expresa de la Gerente General, acorde al Protocolo de seguridad y manejo de las cuentas, mediante el seguimiento a  las condiciones de seguridad como firmas, sellos, protectógrafos y demás   mecanismos de seguridad establecidos en el protocolo. En caso de que no se cuente con la autorización expresa de la Gerente, no se procederá con la operación de apértura o cierre de la cuenta bancaria . Como soporte de la ejecución del control se evidedencia con  las carta de autorización expresa de la Gerencia General. </t>
  </si>
  <si>
    <t>Tesorería y Unidad Financiera</t>
  </si>
  <si>
    <t>El  Tesorero General  diariamente verifica los tokens  de las entidades bancarias, registrando el inventario dia a día hábil en un archivo excel que se compara con los token físicos  para llevar el control de estos . En caso de no registrarse se hará el recuento  del último registro para que coincida con el número de tokens.
Como evidencia se presentará la relación mensual de existencia de tokens en formato PDF.</t>
  </si>
  <si>
    <r>
      <t xml:space="preserve">
Protocolo de seguridad y manejo de las cuentas                                                                              </t>
    </r>
    <r>
      <rPr>
        <b/>
        <sz val="10"/>
        <color theme="1"/>
        <rFont val="Calibri"/>
        <family val="2"/>
        <scheme val="minor"/>
      </rPr>
      <t>FORMATO DE RELACION DE TOKEN  FRO 310-424-1</t>
    </r>
  </si>
  <si>
    <t>La tesorera y el funcionario auxiliar de tesorería, mensualmente verifican que se encuentren en custodia en la boveda de seguridad los documentos tales como: , chequeras en uso, documentos bancarios que lo ameriten y sellos secos para los cheques; para lo anterior se cuenta con una ( 1 ) caja fuerte, unicamente  la Tesorera  maneja y conoce la clave de la caja fuerte  con el fin de proteger y salvaduardar dichos documentos .
Como descisión sobre la desviación del control, y con el fin de evitar la interrupción de la operación del proceso, el Tesorero General entregará ala secretaria general,y/o Jefe de la Unidad Financiera y Contable un sobre sellado con la relación de tokens y clave de las bóvedas de seguridad, que se utilizará en caso de fuerza mayor, quién será el responsable del manejo de esta información.
Como soporte del control, se cuenta con los formatos diligenciados actas de cheques y relación de CDT recibidos en custodia, y relación de sellos con que se cuenta.</t>
  </si>
  <si>
    <t>El Tesorero General mensualmente verifica el inventario de cheques y CDT que reposan en la caja fuerte y realiza el inventario físico de estos titulos valores que se encuntran  en custodia ,y con el auxiliar de tesorería diligencian el formato de acta de cheques , con el objetivo de que verificar las existencis físicas teniendo en cuenta el inventario anterior. Dentro del  acta de cheques se relacionan: el banco, la cuenta y el número del cheque con su intervalo, beneficiario con identidad, concepto y valor. 
Si existe perdida de algún título valor se debe solicitar a la entidad financiera el no pago del mismo,  y seguir el protocolo establecido por el banco. Como evidencia se dejan las actas de inventario.</t>
  </si>
  <si>
    <t>El Tesorero General, cada vez que requiera realizar la apertura de cuentas bancarias, verifica que estas entidades financieras cuenten con calificación alta según las calificadoras de riesgo, con con  el fín de dar cumplimiento a lo establecido en el protocolo de  seguridad y manejo de cuentas y  la normatividad vigente  de la Secretaría Distrital de Hacienda.
Como medida de desviación se cuenta con  la página de la Secretaria de Hacienda, donde se reporta  la  calificacion  de  la  zona de riesgo en la que se ubica cada entidad financiera,  se da prioridad a las entidades financieras que cuenten con la mejor calificacion de riesgo.</t>
  </si>
  <si>
    <r>
      <t>El Auxiliar de Tesorería verificará diariamente la relación de las órdenes</t>
    </r>
    <r>
      <rPr>
        <sz val="11"/>
        <color theme="1"/>
        <rFont val="Calibri"/>
        <family val="2"/>
        <scheme val="minor"/>
      </rPr>
      <t xml:space="preserve"> de pago aprobadas por el jefe finaciero y el ordenador del gasto en el aplicativo financiero, postrerior a ellos son  enviadas a Tesorería para genrar el pago correspondiente.
Como soporte de la ejecución del control, el Tesorero General obtendrá del portal bancario la constancia del pago exitoso, para asegurar que efectivamente se giro la órden de pago, y como soporte se lleva al boletín diario de tesorería..</t>
    </r>
  </si>
  <si>
    <r>
      <rPr>
        <sz val="11"/>
        <color theme="1"/>
        <rFont val="Calibri"/>
        <family val="2"/>
        <scheme val="minor"/>
      </rPr>
      <t>El Tesorero General, diariamente hará la verificación de los pagos exitosos con la orden de pago, con el fin de asegurar que se giro el monto exacto de la obligacion a pagar y al beneficiario y entidad financiera pertinete.
Como medida de desviación se hara la conciliación bancaria para verificar frente a los movimientos bancarios que los pagos exitosos concuerden con los pagos de las órdenes de pago tramitadas.
Como soporte  de la ejecución del control se realizan las conciliaciones bancarias mensualmente.</t>
    </r>
  </si>
  <si>
    <r>
      <t xml:space="preserve">El profesional designado de la Unidad Financiera y Contable, mensualmente elaborará conciliaciones bancarias </t>
    </r>
    <r>
      <rPr>
        <sz val="11"/>
        <color theme="1"/>
        <rFont val="Calibri"/>
        <family val="2"/>
      </rPr>
      <t>CON LA INFORMACION REMITIDA POR LA TESORERÍA, con el fin de verificar que el valor de saldo en bancos coincida con el valor contable.
Como medida de desviación, se debe indagar la diferencia del valor, y proceder a solicitar reintegro, o colocar la denuncia penal según aplique.
Como soporte del control, resultan las conciliaciones en físico en la Unidad Financiera y Contable.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</si>
</sst>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d/mm/yyyy;@"/>
    <numFmt numFmtId="166" formatCode="dd/mm/yyyy;@"/>
  </numFmts>
  <fonts count="70">
    <font>
      <sz val="11"/>
      <color theme="1"/>
      <name val="Calibri"/>
      <family val="2"/>
      <scheme val="minor"/>
    </font>
    <font>
      <b/>
      <sz val="11"/>
      <color indexed="8"/>
      <name val="Calibri"/>
      <family val="2"/>
    </font>
    <font>
      <sz val="11"/>
      <name val="Calibri"/>
      <family val="2"/>
    </font>
    <font>
      <b/>
      <sz val="11"/>
      <name val="Calibri"/>
      <family val="2"/>
    </font>
    <font>
      <sz val="10"/>
      <name val="Calibri"/>
      <family val="2"/>
    </font>
    <font>
      <sz val="8"/>
      <color indexed="8"/>
      <name val="Calibri"/>
      <family val="2"/>
    </font>
    <font>
      <b/>
      <sz val="9"/>
      <color indexed="81"/>
      <name val="Tahoma"/>
      <family val="2"/>
    </font>
    <font>
      <sz val="11"/>
      <name val="Arial"/>
      <family val="2"/>
    </font>
    <font>
      <sz val="11"/>
      <color indexed="8"/>
      <name val="Arial"/>
      <family val="2"/>
    </font>
    <font>
      <sz val="10"/>
      <name val="Arial"/>
      <family val="2"/>
    </font>
    <font>
      <sz val="12"/>
      <name val="Calibri"/>
      <family val="2"/>
    </font>
    <font>
      <sz val="12"/>
      <color indexed="8"/>
      <name val="Calibri"/>
      <family val="2"/>
    </font>
    <font>
      <b/>
      <sz val="12"/>
      <name val="Calibri"/>
      <family val="2"/>
    </font>
    <font>
      <sz val="12"/>
      <color indexed="10"/>
      <name val="Calibri"/>
      <family val="2"/>
    </font>
    <font>
      <u/>
      <sz val="11"/>
      <color indexed="8"/>
      <name val="Arial"/>
      <family val="2"/>
    </font>
    <font>
      <sz val="12"/>
      <name val="Arial"/>
      <family val="2"/>
    </font>
    <font>
      <sz val="16"/>
      <name val="Calibri"/>
      <family val="2"/>
    </font>
    <font>
      <u/>
      <sz val="12"/>
      <name val="Calibri"/>
      <family val="2"/>
    </font>
    <font>
      <u/>
      <sz val="12"/>
      <color indexed="10"/>
      <name val="Calibri"/>
      <family val="2"/>
    </font>
    <font>
      <strike/>
      <sz val="12"/>
      <name val="Calibri"/>
      <family val="2"/>
    </font>
    <font>
      <sz val="10"/>
      <color indexed="10"/>
      <name val="Calibri"/>
      <family val="2"/>
    </font>
    <font>
      <b/>
      <sz val="10"/>
      <color indexed="10"/>
      <name val="Calibri"/>
      <family val="2"/>
    </font>
    <font>
      <sz val="12"/>
      <name val="Aptos Narrow"/>
    </font>
    <font>
      <sz val="11"/>
      <color theme="1"/>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sz val="14"/>
      <name val="Calibri"/>
      <family val="2"/>
      <scheme val="minor"/>
    </font>
    <font>
      <b/>
      <sz val="14"/>
      <color theme="0"/>
      <name val="Calibri"/>
      <family val="2"/>
      <scheme val="minor"/>
    </font>
    <font>
      <sz val="14"/>
      <color theme="1"/>
      <name val="Calibri"/>
      <family val="2"/>
      <scheme val="minor"/>
    </font>
    <font>
      <sz val="10"/>
      <color theme="1"/>
      <name val="Calibri"/>
      <family val="2"/>
      <scheme val="minor"/>
    </font>
    <font>
      <sz val="1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6"/>
      <color theme="1"/>
      <name val="Calibri"/>
      <family val="2"/>
      <scheme val="minor"/>
    </font>
    <font>
      <sz val="11"/>
      <color theme="1"/>
      <name val="Arial"/>
      <family val="2"/>
    </font>
    <font>
      <b/>
      <sz val="10"/>
      <color theme="1"/>
      <name val="Calibri"/>
      <family val="2"/>
      <scheme val="minor"/>
    </font>
    <font>
      <b/>
      <sz val="10"/>
      <name val="Calibri"/>
      <family val="2"/>
      <scheme val="minor"/>
    </font>
    <font>
      <b/>
      <sz val="14"/>
      <color theme="1"/>
      <name val="Calibri"/>
      <family val="2"/>
      <scheme val="minor"/>
    </font>
    <font>
      <b/>
      <sz val="12"/>
      <color theme="1"/>
      <name val="Calibri"/>
      <family val="2"/>
      <scheme val="minor"/>
    </font>
    <font>
      <sz val="12"/>
      <name val="Calibri"/>
      <family val="2"/>
      <scheme val="minor"/>
    </font>
    <font>
      <sz val="12"/>
      <color theme="1"/>
      <name val="Calibri"/>
      <family val="2"/>
      <scheme val="minor"/>
    </font>
    <font>
      <sz val="12"/>
      <color rgb="FF000000"/>
      <name val="Calibri"/>
      <family val="2"/>
    </font>
    <font>
      <sz val="12"/>
      <color rgb="FF000000"/>
      <name val="Calibri"/>
      <family val="2"/>
      <scheme val="minor"/>
    </font>
    <font>
      <b/>
      <sz val="12"/>
      <name val="Calibri"/>
      <family val="2"/>
      <scheme val="minor"/>
    </font>
    <font>
      <sz val="11"/>
      <color rgb="FF000000"/>
      <name val="Arial"/>
      <family val="2"/>
    </font>
    <font>
      <b/>
      <sz val="10"/>
      <color theme="1"/>
      <name val="Arial"/>
      <family val="2"/>
    </font>
    <font>
      <sz val="10"/>
      <color theme="1"/>
      <name val="Arial"/>
      <family val="2"/>
    </font>
    <font>
      <b/>
      <sz val="12"/>
      <color rgb="FF000000"/>
      <name val="Calibri"/>
      <family val="2"/>
    </font>
    <font>
      <sz val="16"/>
      <color theme="1"/>
      <name val="Calibri"/>
      <family val="2"/>
      <scheme val="minor"/>
    </font>
    <font>
      <sz val="16"/>
      <name val="Calibri"/>
      <family val="2"/>
      <scheme val="minor"/>
    </font>
    <font>
      <b/>
      <sz val="16"/>
      <name val="Calibri"/>
      <family val="2"/>
      <scheme val="minor"/>
    </font>
    <font>
      <sz val="10"/>
      <color rgb="FF0000FF"/>
      <name val="Calibri"/>
      <family val="2"/>
      <scheme val="minor"/>
    </font>
    <font>
      <sz val="12"/>
      <color rgb="FF242424"/>
      <name val="Aptos Narrow"/>
      <family val="2"/>
    </font>
    <font>
      <sz val="12"/>
      <color theme="1"/>
      <name val="Arial"/>
      <family val="2"/>
    </font>
    <font>
      <sz val="11"/>
      <color rgb="FF242424"/>
      <name val="Aptos Narrow"/>
      <family val="2"/>
    </font>
    <font>
      <sz val="10"/>
      <color rgb="FF000000"/>
      <name val="Arial"/>
      <family val="2"/>
    </font>
    <font>
      <sz val="12"/>
      <color rgb="FF242424"/>
      <name val="Calibri"/>
      <family val="2"/>
      <scheme val="minor"/>
    </font>
    <font>
      <b/>
      <sz val="16"/>
      <color rgb="FF0070C0"/>
      <name val="Calibri"/>
      <family val="2"/>
      <scheme val="minor"/>
    </font>
    <font>
      <sz val="11"/>
      <color rgb="FFFF0000"/>
      <name val="Calibri"/>
      <family val="2"/>
      <scheme val="minor"/>
    </font>
    <font>
      <sz val="11"/>
      <color theme="4"/>
      <name val="Calibri"/>
      <family val="2"/>
      <scheme val="minor"/>
    </font>
    <font>
      <b/>
      <sz val="11"/>
      <name val="Calibri"/>
      <family val="2"/>
      <scheme val="minor"/>
    </font>
    <font>
      <b/>
      <sz val="12"/>
      <color theme="0"/>
      <name val="Calibri"/>
      <family val="2"/>
      <scheme val="minor"/>
    </font>
    <font>
      <b/>
      <sz val="11"/>
      <color theme="1"/>
      <name val="Arial"/>
      <family val="2"/>
    </font>
    <font>
      <sz val="12"/>
      <color rgb="FFFF0000"/>
      <name val="Calibri"/>
      <family val="2"/>
      <scheme val="minor"/>
    </font>
    <font>
      <sz val="10"/>
      <color rgb="FFFF0000"/>
      <name val="Calibri"/>
      <family val="2"/>
      <scheme val="minor"/>
    </font>
    <font>
      <sz val="11"/>
      <color theme="1"/>
      <name val="Calibri"/>
      <family val="2"/>
    </font>
  </fonts>
  <fills count="17">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theme="0"/>
        <bgColor indexed="64"/>
      </patternFill>
    </fill>
    <fill>
      <patternFill patternType="solid">
        <fgColor theme="5" tint="-0.249977111117893"/>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FFFFFF"/>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rgb="FFE3730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249977111117893"/>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theme="5" tint="0.59996337778862885"/>
      </left>
      <right style="medium">
        <color theme="5" tint="0.59996337778862885"/>
      </right>
      <top style="medium">
        <color theme="5" tint="0.59996337778862885"/>
      </top>
      <bottom style="medium">
        <color theme="5" tint="0.59996337778862885"/>
      </bottom>
      <diagonal/>
    </border>
    <border>
      <left style="medium">
        <color theme="5" tint="0.59996337778862885"/>
      </left>
      <right style="medium">
        <color theme="5" tint="0.59996337778862885"/>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thin">
        <color rgb="FF000000"/>
      </bottom>
      <diagonal/>
    </border>
    <border>
      <left style="thin">
        <color rgb="FF000000"/>
      </left>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theme="1"/>
      </top>
      <bottom/>
      <diagonal/>
    </border>
    <border>
      <left/>
      <right style="thin">
        <color theme="1"/>
      </right>
      <top style="thin">
        <color theme="1"/>
      </top>
      <bottom/>
      <diagonal/>
    </border>
    <border>
      <left/>
      <right/>
      <top style="thin">
        <color rgb="FF000000"/>
      </top>
      <bottom style="thin">
        <color rgb="FF000000"/>
      </bottom>
      <diagonal/>
    </border>
  </borders>
  <cellStyleXfs count="9">
    <xf numFmtId="0" fontId="0" fillId="0" borderId="0"/>
    <xf numFmtId="0" fontId="24" fillId="0" borderId="0" applyNumberFormat="0" applyFill="0" applyBorder="0" applyAlignment="0" applyProtection="0"/>
    <xf numFmtId="0" fontId="24" fillId="0" borderId="0" applyNumberForma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cellStyleXfs>
  <cellXfs count="1257">
    <xf numFmtId="0" fontId="0" fillId="0" borderId="0" xfId="0"/>
    <xf numFmtId="0" fontId="25" fillId="0" borderId="0" xfId="0" applyFont="1"/>
    <xf numFmtId="0" fontId="25" fillId="0" borderId="1" xfId="0" applyFont="1" applyBorder="1" applyAlignment="1">
      <alignment horizontal="right" vertical="center"/>
    </xf>
    <xf numFmtId="0" fontId="25" fillId="0" borderId="0" xfId="0" applyFont="1" applyAlignment="1">
      <alignment horizontal="right" vertical="center"/>
    </xf>
    <xf numFmtId="0" fontId="25" fillId="0" borderId="1" xfId="0" applyFont="1" applyBorder="1" applyAlignment="1">
      <alignment horizontal="center" vertical="center" wrapText="1"/>
    </xf>
    <xf numFmtId="164" fontId="25" fillId="0" borderId="1" xfId="3" applyNumberFormat="1" applyFont="1" applyBorder="1" applyAlignment="1">
      <alignment vertical="center"/>
    </xf>
    <xf numFmtId="164" fontId="25" fillId="0" borderId="0" xfId="3" applyNumberFormat="1" applyFont="1" applyBorder="1" applyAlignment="1">
      <alignment vertical="center"/>
    </xf>
    <xf numFmtId="9" fontId="0" fillId="0" borderId="1" xfId="0" applyNumberFormat="1" applyBorder="1" applyAlignment="1">
      <alignment vertical="center"/>
    </xf>
    <xf numFmtId="164" fontId="23" fillId="0" borderId="1" xfId="3" applyNumberFormat="1" applyFont="1" applyBorder="1" applyAlignment="1">
      <alignment vertical="center"/>
    </xf>
    <xf numFmtId="164" fontId="23" fillId="0" borderId="0" xfId="3" applyNumberFormat="1" applyFont="1" applyBorder="1" applyAlignment="1">
      <alignment vertical="center"/>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48" xfId="0" applyBorder="1" applyAlignment="1">
      <alignment vertical="center" wrapText="1"/>
    </xf>
    <xf numFmtId="9" fontId="0" fillId="0" borderId="48" xfId="0" applyNumberForma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49" xfId="0" applyBorder="1" applyAlignment="1">
      <alignment vertical="center" wrapText="1"/>
    </xf>
    <xf numFmtId="0" fontId="26" fillId="3" borderId="3"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0" fillId="4" borderId="1" xfId="0" applyFill="1" applyBorder="1" applyAlignment="1">
      <alignment horizontal="right" vertical="center" wrapText="1"/>
    </xf>
    <xf numFmtId="0" fontId="0" fillId="0" borderId="1" xfId="0" applyBorder="1" applyAlignment="1">
      <alignment horizontal="right" vertical="center" wrapText="1"/>
    </xf>
    <xf numFmtId="0" fontId="26" fillId="3" borderId="6" xfId="0" applyFont="1" applyFill="1" applyBorder="1" applyAlignment="1">
      <alignment horizontal="right" vertical="center" wrapText="1"/>
    </xf>
    <xf numFmtId="0" fontId="2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right" vertical="center" wrapText="1"/>
    </xf>
    <xf numFmtId="0" fontId="0" fillId="0" borderId="3" xfId="0" applyBorder="1" applyAlignment="1">
      <alignment horizontal="center" vertical="center" wrapText="1"/>
    </xf>
    <xf numFmtId="0" fontId="0" fillId="0" borderId="4" xfId="0" applyBorder="1" applyAlignment="1">
      <alignment horizontal="right" vertical="center"/>
    </xf>
    <xf numFmtId="0" fontId="27" fillId="0" borderId="0" xfId="0" applyFont="1"/>
    <xf numFmtId="0" fontId="27" fillId="0" borderId="0" xfId="0" applyFont="1" applyAlignment="1">
      <alignment horizontal="right"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right" vertical="center"/>
    </xf>
    <xf numFmtId="0" fontId="25" fillId="2" borderId="9" xfId="0" applyFont="1" applyFill="1" applyBorder="1" applyAlignment="1">
      <alignment horizontal="center" vertical="center" wrapText="1"/>
    </xf>
    <xf numFmtId="0" fontId="0" fillId="0" borderId="1" xfId="0" applyBorder="1"/>
    <xf numFmtId="0" fontId="0" fillId="0" borderId="9" xfId="0" applyBorder="1" applyAlignment="1">
      <alignment vertical="center" wrapText="1"/>
    </xf>
    <xf numFmtId="9" fontId="0" fillId="0" borderId="9" xfId="0" applyNumberFormat="1" applyBorder="1" applyAlignment="1">
      <alignment vertical="center" wrapText="1"/>
    </xf>
    <xf numFmtId="9" fontId="0" fillId="0" borderId="2" xfId="0" applyNumberFormat="1" applyBorder="1" applyAlignment="1">
      <alignment vertical="center" wrapText="1"/>
    </xf>
    <xf numFmtId="0" fontId="0" fillId="0" borderId="0" xfId="0" applyAlignment="1">
      <alignment wrapText="1"/>
    </xf>
    <xf numFmtId="0" fontId="28" fillId="5" borderId="10" xfId="0" applyFont="1" applyFill="1" applyBorder="1" applyAlignment="1" applyProtection="1">
      <alignment horizontal="center" vertical="center"/>
      <protection hidden="1"/>
    </xf>
    <xf numFmtId="0" fontId="30" fillId="3" borderId="3" xfId="0" applyFont="1" applyFill="1" applyBorder="1" applyAlignment="1" applyProtection="1">
      <alignment horizontal="center" vertical="center" wrapText="1"/>
      <protection hidden="1"/>
    </xf>
    <xf numFmtId="9" fontId="29" fillId="7" borderId="1" xfId="7" applyFont="1" applyFill="1" applyBorder="1" applyAlignment="1" applyProtection="1">
      <alignment horizontal="center" vertical="center" wrapText="1"/>
      <protection hidden="1"/>
    </xf>
    <xf numFmtId="0" fontId="29" fillId="7" borderId="1" xfId="0" applyFont="1" applyFill="1" applyBorder="1" applyAlignment="1" applyProtection="1">
      <alignment horizontal="center" vertical="center" wrapText="1"/>
      <protection hidden="1"/>
    </xf>
    <xf numFmtId="9" fontId="29" fillId="6" borderId="1" xfId="7" applyFont="1" applyFill="1" applyBorder="1" applyAlignment="1" applyProtection="1">
      <alignment horizontal="center" vertical="center" wrapText="1"/>
      <protection hidden="1"/>
    </xf>
    <xf numFmtId="0" fontId="31" fillId="0" borderId="0" xfId="0" applyFont="1" applyAlignment="1" applyProtection="1">
      <alignment horizontal="center" vertical="center" wrapText="1"/>
      <protection hidden="1"/>
    </xf>
    <xf numFmtId="0" fontId="0" fillId="8" borderId="1" xfId="0" applyFill="1" applyBorder="1" applyAlignment="1" applyProtection="1">
      <alignment horizontal="center" vertical="center" wrapText="1"/>
      <protection locked="0"/>
    </xf>
    <xf numFmtId="0" fontId="32" fillId="0" borderId="1" xfId="0" applyFont="1" applyBorder="1" applyAlignment="1" applyProtection="1">
      <alignment vertical="center" wrapText="1"/>
      <protection locked="0"/>
    </xf>
    <xf numFmtId="0" fontId="32" fillId="0" borderId="1" xfId="0" applyFont="1" applyBorder="1" applyAlignment="1" applyProtection="1">
      <alignment horizontal="justify" vertical="center" wrapText="1"/>
      <protection locked="0"/>
    </xf>
    <xf numFmtId="0" fontId="32" fillId="0" borderId="3" xfId="0" quotePrefix="1" applyFont="1" applyBorder="1" applyAlignment="1" applyProtection="1">
      <alignment horizontal="left" vertical="center" wrapText="1"/>
      <protection hidden="1"/>
    </xf>
    <xf numFmtId="0" fontId="33" fillId="0" borderId="1" xfId="0" quotePrefix="1" applyFont="1" applyBorder="1" applyAlignment="1" applyProtection="1">
      <alignment horizontal="justify" vertical="center"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left" vertical="center" wrapText="1"/>
      <protection hidden="1"/>
    </xf>
    <xf numFmtId="0" fontId="32" fillId="0" borderId="11" xfId="0" applyFont="1" applyBorder="1" applyAlignment="1" applyProtection="1">
      <alignment vertical="center" wrapText="1"/>
      <protection locked="0"/>
    </xf>
    <xf numFmtId="14" fontId="32" fillId="0" borderId="1" xfId="0" applyNumberFormat="1" applyFont="1" applyBorder="1" applyAlignment="1" applyProtection="1">
      <alignment horizontal="center" vertical="center" wrapText="1"/>
      <protection locked="0" hidden="1"/>
    </xf>
    <xf numFmtId="0" fontId="32" fillId="0" borderId="1" xfId="0" quotePrefix="1" applyFont="1" applyBorder="1" applyAlignment="1" applyProtection="1">
      <alignment horizontal="center" vertical="center" wrapText="1"/>
      <protection locked="0" hidden="1"/>
    </xf>
    <xf numFmtId="0" fontId="33" fillId="0" borderId="1" xfId="0" applyFont="1" applyBorder="1" applyAlignment="1" applyProtection="1">
      <alignment horizontal="justify" vertical="center" wrapText="1"/>
      <protection locked="0"/>
    </xf>
    <xf numFmtId="0" fontId="0" fillId="0" borderId="1" xfId="0" applyBorder="1" applyAlignment="1" applyProtection="1">
      <alignment horizontal="justify" vertical="center" wrapText="1"/>
      <protection locked="0"/>
    </xf>
    <xf numFmtId="0" fontId="0" fillId="0" borderId="1" xfId="0" applyBorder="1" applyAlignment="1" applyProtection="1">
      <alignment horizontal="center" vertical="center" wrapText="1"/>
      <protection hidden="1"/>
    </xf>
    <xf numFmtId="0" fontId="33" fillId="0" borderId="1" xfId="0" applyFont="1" applyBorder="1" applyAlignment="1" applyProtection="1">
      <alignment vertical="center" wrapText="1"/>
      <protection locked="0"/>
    </xf>
    <xf numFmtId="0" fontId="0" fillId="0" borderId="11" xfId="0" applyBorder="1" applyAlignment="1" applyProtection="1">
      <alignment horizontal="justify" vertical="center" wrapText="1"/>
      <protection locked="0"/>
    </xf>
    <xf numFmtId="0" fontId="0" fillId="0" borderId="11" xfId="0" applyBorder="1" applyAlignment="1" applyProtection="1">
      <alignment horizontal="center" vertical="center" wrapText="1"/>
      <protection locked="0"/>
    </xf>
    <xf numFmtId="0" fontId="0" fillId="0" borderId="0" xfId="0" applyAlignment="1" applyProtection="1">
      <alignment horizontal="center" vertical="center" wrapText="1"/>
      <protection hidden="1"/>
    </xf>
    <xf numFmtId="9" fontId="23" fillId="0" borderId="0" xfId="7" applyFont="1" applyAlignment="1" applyProtection="1">
      <alignment horizontal="left" vertical="center" wrapText="1"/>
      <protection hidden="1"/>
    </xf>
    <xf numFmtId="9" fontId="23" fillId="0" borderId="0" xfId="7" applyFont="1" applyAlignment="1" applyProtection="1">
      <alignment horizontal="right" vertical="center" wrapText="1"/>
      <protection hidden="1"/>
    </xf>
    <xf numFmtId="0" fontId="0" fillId="0" borderId="0" xfId="0" applyAlignment="1" applyProtection="1">
      <alignment horizontal="justify" vertical="center" wrapText="1"/>
      <protection hidden="1"/>
    </xf>
    <xf numFmtId="0" fontId="0" fillId="0" borderId="0" xfId="0" applyAlignment="1" applyProtection="1">
      <alignment horizontal="center" vertical="center"/>
      <protection hidden="1"/>
    </xf>
    <xf numFmtId="0" fontId="34" fillId="9" borderId="50" xfId="0" applyFont="1" applyFill="1" applyBorder="1" applyAlignment="1">
      <alignment horizontal="center" vertical="center" wrapText="1"/>
    </xf>
    <xf numFmtId="0" fontId="35" fillId="9" borderId="50" xfId="0" applyFont="1" applyFill="1" applyBorder="1" applyAlignment="1">
      <alignment horizontal="center" vertical="center" wrapText="1"/>
    </xf>
    <xf numFmtId="0" fontId="34" fillId="9" borderId="51" xfId="0" applyFont="1" applyFill="1" applyBorder="1" applyAlignment="1">
      <alignment horizontal="center" vertical="center" wrapText="1"/>
    </xf>
    <xf numFmtId="0" fontId="35" fillId="9" borderId="51" xfId="0" applyFont="1" applyFill="1" applyBorder="1" applyAlignment="1">
      <alignment horizontal="center" vertical="center" wrapText="1"/>
    </xf>
    <xf numFmtId="0" fontId="35" fillId="9" borderId="52" xfId="0" applyFont="1" applyFill="1" applyBorder="1" applyAlignment="1">
      <alignment horizontal="center" vertical="center" wrapText="1"/>
    </xf>
    <xf numFmtId="0" fontId="32" fillId="0" borderId="13" xfId="0" applyFont="1" applyBorder="1" applyAlignment="1" applyProtection="1">
      <alignment horizontal="center" vertical="center" wrapText="1"/>
      <protection locked="0"/>
    </xf>
    <xf numFmtId="9" fontId="32" fillId="0" borderId="1" xfId="7" applyFont="1"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hidden="1"/>
    </xf>
    <xf numFmtId="0" fontId="32" fillId="0" borderId="1" xfId="0" quotePrefix="1" applyFont="1" applyBorder="1" applyAlignment="1" applyProtection="1">
      <alignment horizontal="left" vertical="center" wrapText="1"/>
      <protection hidden="1"/>
    </xf>
    <xf numFmtId="0" fontId="32" fillId="0" borderId="1" xfId="0" applyFont="1" applyBorder="1" applyAlignment="1" applyProtection="1">
      <alignment horizontal="left" vertical="center" wrapText="1"/>
      <protection hidden="1"/>
    </xf>
    <xf numFmtId="0" fontId="25" fillId="0" borderId="1" xfId="0" applyFont="1" applyBorder="1" applyAlignment="1" applyProtection="1">
      <alignment horizontal="center" vertical="center" wrapText="1"/>
      <protection hidden="1"/>
    </xf>
    <xf numFmtId="0" fontId="32" fillId="0" borderId="12" xfId="0" applyFont="1" applyBorder="1" applyAlignment="1" applyProtection="1">
      <alignment horizontal="left" vertical="center" wrapText="1"/>
      <protection locked="0"/>
    </xf>
    <xf numFmtId="0" fontId="32" fillId="0" borderId="10" xfId="0" applyFont="1" applyBorder="1" applyAlignment="1" applyProtection="1">
      <alignment vertical="center" wrapText="1"/>
      <protection locked="0"/>
    </xf>
    <xf numFmtId="0" fontId="0" fillId="0" borderId="0" xfId="0" applyAlignment="1" applyProtection="1">
      <alignment wrapText="1"/>
      <protection hidden="1"/>
    </xf>
    <xf numFmtId="165" fontId="0" fillId="0" borderId="0" xfId="0" applyNumberFormat="1" applyAlignment="1" applyProtection="1">
      <alignment vertical="center" wrapText="1"/>
      <protection hidden="1"/>
    </xf>
    <xf numFmtId="0" fontId="32" fillId="0" borderId="14" xfId="0" quotePrefix="1" applyFont="1" applyBorder="1" applyAlignment="1" applyProtection="1">
      <alignment horizontal="left" vertical="center" wrapText="1"/>
      <protection hidden="1"/>
    </xf>
    <xf numFmtId="0" fontId="36" fillId="0" borderId="1" xfId="0" applyFont="1" applyBorder="1" applyAlignment="1" applyProtection="1">
      <alignment horizontal="justify" vertical="center" wrapText="1"/>
      <protection locked="0"/>
    </xf>
    <xf numFmtId="0" fontId="25" fillId="0" borderId="1" xfId="0" applyFont="1" applyBorder="1" applyAlignment="1" applyProtection="1">
      <alignment horizontal="right" vertical="center" wrapText="1"/>
      <protection hidden="1"/>
    </xf>
    <xf numFmtId="0" fontId="32" fillId="0" borderId="13" xfId="0" applyFont="1" applyBorder="1" applyAlignment="1" applyProtection="1">
      <alignment vertical="center" wrapText="1"/>
      <protection locked="0"/>
    </xf>
    <xf numFmtId="0" fontId="32"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9" fontId="23" fillId="0" borderId="0" xfId="7" applyFont="1" applyFill="1" applyAlignment="1" applyProtection="1">
      <alignment horizontal="left" vertical="center" wrapText="1"/>
      <protection hidden="1"/>
    </xf>
    <xf numFmtId="9" fontId="23" fillId="0" borderId="0" xfId="7" applyFont="1" applyFill="1" applyAlignment="1" applyProtection="1">
      <alignment horizontal="right" vertical="center" wrapText="1"/>
      <protection hidden="1"/>
    </xf>
    <xf numFmtId="0" fontId="28" fillId="5" borderId="1" xfId="0" applyFont="1" applyFill="1" applyBorder="1" applyAlignment="1" applyProtection="1">
      <alignment horizontal="center" vertical="center" wrapText="1"/>
      <protection hidden="1"/>
    </xf>
    <xf numFmtId="0" fontId="0" fillId="0" borderId="1" xfId="0" applyBorder="1" applyAlignment="1" applyProtection="1">
      <alignment wrapText="1"/>
      <protection hidden="1"/>
    </xf>
    <xf numFmtId="0" fontId="35" fillId="9" borderId="1" xfId="0" applyFont="1" applyFill="1" applyBorder="1" applyAlignment="1">
      <alignment horizontal="center" vertical="center" wrapText="1"/>
    </xf>
    <xf numFmtId="0" fontId="31" fillId="0" borderId="1" xfId="0" applyFont="1" applyBorder="1" applyAlignment="1" applyProtection="1">
      <alignment horizontal="center" vertical="center" wrapText="1"/>
      <protection hidden="1"/>
    </xf>
    <xf numFmtId="9" fontId="29" fillId="7" borderId="15" xfId="7" applyFont="1" applyFill="1" applyBorder="1" applyAlignment="1" applyProtection="1">
      <alignment horizontal="center" vertical="center" wrapText="1"/>
      <protection hidden="1"/>
    </xf>
    <xf numFmtId="0" fontId="29" fillId="7" borderId="15" xfId="0" applyFont="1" applyFill="1" applyBorder="1" applyAlignment="1" applyProtection="1">
      <alignment horizontal="center" vertical="center" wrapText="1"/>
      <protection hidden="1"/>
    </xf>
    <xf numFmtId="9" fontId="29" fillId="6" borderId="15" xfId="7" applyFont="1" applyFill="1" applyBorder="1" applyAlignment="1" applyProtection="1">
      <alignment horizontal="center" vertical="center" wrapText="1"/>
      <protection hidden="1"/>
    </xf>
    <xf numFmtId="0" fontId="34" fillId="9" borderId="15" xfId="0" applyFont="1" applyFill="1" applyBorder="1" applyAlignment="1">
      <alignment horizontal="center" vertical="center" wrapText="1"/>
    </xf>
    <xf numFmtId="0" fontId="35" fillId="9" borderId="15" xfId="0" applyFont="1" applyFill="1" applyBorder="1" applyAlignment="1">
      <alignment horizontal="center" vertical="center" wrapText="1"/>
    </xf>
    <xf numFmtId="0" fontId="31" fillId="0" borderId="15" xfId="0" applyFont="1" applyBorder="1" applyAlignment="1" applyProtection="1">
      <alignment horizontal="center" vertical="center" wrapText="1"/>
      <protection hidden="1"/>
    </xf>
    <xf numFmtId="0" fontId="33" fillId="0" borderId="12" xfId="0" applyFont="1" applyBorder="1" applyAlignment="1" applyProtection="1">
      <alignment horizontal="center" vertical="center" wrapText="1"/>
      <protection locked="0"/>
    </xf>
    <xf numFmtId="0" fontId="0" fillId="0" borderId="11" xfId="0" applyBorder="1" applyAlignment="1" applyProtection="1">
      <alignment horizontal="left" vertical="center" wrapText="1"/>
      <protection hidden="1"/>
    </xf>
    <xf numFmtId="0" fontId="33" fillId="0" borderId="11" xfId="0" applyFont="1" applyBorder="1" applyAlignment="1" applyProtection="1">
      <alignment vertical="center" wrapText="1"/>
      <protection locked="0"/>
    </xf>
    <xf numFmtId="0" fontId="32" fillId="0" borderId="11" xfId="0" applyFont="1" applyBorder="1" applyAlignment="1" applyProtection="1">
      <alignment horizontal="justify" vertical="center" wrapText="1"/>
      <protection locked="0"/>
    </xf>
    <xf numFmtId="0" fontId="36" fillId="0" borderId="11" xfId="0" applyFont="1" applyBorder="1" applyAlignment="1" applyProtection="1">
      <alignment horizontal="justify" vertical="center" wrapText="1"/>
      <protection locked="0"/>
    </xf>
    <xf numFmtId="0" fontId="0" fillId="0" borderId="11" xfId="0" applyBorder="1" applyAlignment="1" applyProtection="1">
      <alignment wrapText="1"/>
      <protection hidden="1"/>
    </xf>
    <xf numFmtId="0" fontId="7" fillId="0" borderId="11" xfId="0" applyFont="1" applyBorder="1" applyAlignment="1" applyProtection="1">
      <alignment horizontal="center" vertical="center" wrapText="1"/>
      <protection hidden="1"/>
    </xf>
    <xf numFmtId="0" fontId="36" fillId="0" borderId="11"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hidden="1"/>
    </xf>
    <xf numFmtId="0" fontId="32" fillId="0" borderId="13"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hidden="1"/>
    </xf>
    <xf numFmtId="0" fontId="39" fillId="0" borderId="16" xfId="0" applyFont="1" applyBorder="1" applyAlignment="1" applyProtection="1">
      <alignment vertical="center" wrapText="1"/>
      <protection locked="0"/>
    </xf>
    <xf numFmtId="0" fontId="32" fillId="0" borderId="16" xfId="0" applyFont="1" applyBorder="1" applyAlignment="1" applyProtection="1">
      <alignment horizontal="justify" vertical="center" wrapText="1"/>
      <protection locked="0"/>
    </xf>
    <xf numFmtId="0" fontId="33" fillId="0" borderId="16" xfId="0" applyFont="1" applyBorder="1" applyAlignment="1" applyProtection="1">
      <alignment horizontal="justify" vertical="center" wrapText="1"/>
      <protection locked="0"/>
    </xf>
    <xf numFmtId="0" fontId="32" fillId="8" borderId="16" xfId="0" applyFont="1" applyFill="1" applyBorder="1" applyAlignment="1" applyProtection="1">
      <alignment horizontal="justify" vertical="center" wrapText="1"/>
      <protection locked="0" hidden="1"/>
    </xf>
    <xf numFmtId="0" fontId="32" fillId="8" borderId="16" xfId="0" applyFont="1" applyFill="1" applyBorder="1" applyAlignment="1" applyProtection="1">
      <alignment horizontal="justify" vertical="center" wrapText="1"/>
      <protection locked="0"/>
    </xf>
    <xf numFmtId="0" fontId="33" fillId="0" borderId="16" xfId="0" applyFont="1" applyBorder="1" applyAlignment="1" applyProtection="1">
      <alignment horizontal="justify" vertical="center" wrapText="1"/>
      <protection hidden="1"/>
    </xf>
    <xf numFmtId="0" fontId="40" fillId="0" borderId="16" xfId="0" applyFont="1" applyBorder="1" applyAlignment="1" applyProtection="1">
      <alignment horizontal="justify" vertical="center" wrapText="1"/>
      <protection locked="0"/>
    </xf>
    <xf numFmtId="0" fontId="32" fillId="0" borderId="16" xfId="0" applyFont="1" applyBorder="1" applyAlignment="1" applyProtection="1">
      <alignment vertical="center" wrapText="1"/>
      <protection locked="0"/>
    </xf>
    <xf numFmtId="0" fontId="39" fillId="0" borderId="16" xfId="0" applyFont="1" applyBorder="1" applyAlignment="1" applyProtection="1">
      <alignment horizontal="justify" vertical="center" wrapText="1"/>
      <protection locked="0"/>
    </xf>
    <xf numFmtId="0" fontId="32" fillId="0" borderId="16" xfId="0" quotePrefix="1" applyFont="1" applyBorder="1" applyAlignment="1" applyProtection="1">
      <alignment horizontal="left" vertical="center" wrapText="1"/>
      <protection hidden="1"/>
    </xf>
    <xf numFmtId="0" fontId="37" fillId="0" borderId="16"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0" fontId="32" fillId="0" borderId="16" xfId="0" applyFont="1" applyBorder="1" applyAlignment="1" applyProtection="1">
      <alignment horizontal="left" vertical="center" wrapText="1"/>
      <protection locked="0"/>
    </xf>
    <xf numFmtId="0" fontId="4" fillId="0" borderId="16"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9" fontId="23" fillId="0" borderId="16" xfId="7" applyFont="1" applyBorder="1" applyAlignment="1" applyProtection="1">
      <alignment horizontal="left" vertical="center" wrapText="1"/>
      <protection locked="0"/>
    </xf>
    <xf numFmtId="0" fontId="4" fillId="0" borderId="16" xfId="0" applyFont="1" applyBorder="1" applyAlignment="1" applyProtection="1">
      <alignment vertical="center" wrapText="1"/>
      <protection locked="0"/>
    </xf>
    <xf numFmtId="0" fontId="0" fillId="0" borderId="10" xfId="0" applyBorder="1" applyAlignment="1" applyProtection="1">
      <alignment wrapText="1"/>
      <protection hidden="1"/>
    </xf>
    <xf numFmtId="0" fontId="0" fillId="0" borderId="10" xfId="0" applyBorder="1" applyAlignment="1" applyProtection="1">
      <alignment horizontal="left" vertical="center" wrapText="1"/>
      <protection hidden="1"/>
    </xf>
    <xf numFmtId="0" fontId="33" fillId="0" borderId="10" xfId="0" applyFont="1" applyBorder="1" applyAlignment="1" applyProtection="1">
      <alignment vertical="center" wrapText="1"/>
      <protection locked="0"/>
    </xf>
    <xf numFmtId="0" fontId="0" fillId="0" borderId="16" xfId="0" applyBorder="1" applyAlignment="1" applyProtection="1">
      <alignment wrapText="1"/>
      <protection hidden="1"/>
    </xf>
    <xf numFmtId="0" fontId="32" fillId="0" borderId="16" xfId="0" applyFont="1" applyBorder="1" applyAlignment="1" applyProtection="1">
      <alignment horizontal="center" vertical="center" wrapText="1"/>
      <protection locked="0" hidden="1"/>
    </xf>
    <xf numFmtId="0" fontId="33" fillId="0" borderId="16" xfId="0" applyFont="1" applyBorder="1" applyAlignment="1" applyProtection="1">
      <alignment horizontal="center" vertical="center" wrapText="1"/>
      <protection locked="0"/>
    </xf>
    <xf numFmtId="0" fontId="0" fillId="0" borderId="16" xfId="0" applyBorder="1" applyAlignment="1" applyProtection="1">
      <alignment horizontal="left" vertical="center" wrapText="1"/>
      <protection hidden="1"/>
    </xf>
    <xf numFmtId="0" fontId="0" fillId="0" borderId="16" xfId="0" applyBorder="1" applyAlignment="1" applyProtection="1">
      <alignment horizontal="left" vertical="center" wrapText="1"/>
      <protection locked="0"/>
    </xf>
    <xf numFmtId="0" fontId="7" fillId="8" borderId="16" xfId="0" applyFont="1" applyFill="1" applyBorder="1" applyAlignment="1">
      <alignment horizontal="center" vertical="center" wrapText="1"/>
    </xf>
    <xf numFmtId="14" fontId="0" fillId="0" borderId="16" xfId="0" applyNumberFormat="1" applyBorder="1" applyAlignment="1" applyProtection="1">
      <alignment horizontal="center" vertical="center" wrapText="1"/>
      <protection locked="0"/>
    </xf>
    <xf numFmtId="0" fontId="33" fillId="0" borderId="16" xfId="0" applyFont="1" applyBorder="1" applyAlignment="1" applyProtection="1">
      <alignment vertical="center" wrapText="1"/>
      <protection locked="0"/>
    </xf>
    <xf numFmtId="0" fontId="9" fillId="0" borderId="1" xfId="0" quotePrefix="1" applyFont="1" applyBorder="1" applyAlignment="1" applyProtection="1">
      <alignment horizontal="center" vertical="center" wrapText="1"/>
      <protection hidden="1"/>
    </xf>
    <xf numFmtId="0" fontId="9" fillId="0" borderId="11" xfId="0" quotePrefix="1" applyFont="1" applyBorder="1" applyAlignment="1" applyProtection="1">
      <alignment horizontal="center" vertical="center" wrapText="1"/>
      <protection hidden="1"/>
    </xf>
    <xf numFmtId="0" fontId="39" fillId="0" borderId="16" xfId="0" applyFont="1" applyBorder="1" applyAlignment="1" applyProtection="1">
      <alignment horizontal="center" vertical="center" wrapText="1"/>
      <protection locked="0"/>
    </xf>
    <xf numFmtId="0" fontId="33" fillId="0" borderId="16" xfId="0" quotePrefix="1" applyFont="1" applyBorder="1" applyAlignment="1" applyProtection="1">
      <alignment horizontal="center" vertical="center" wrapText="1"/>
      <protection hidden="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8" borderId="16" xfId="0" applyFont="1" applyFill="1" applyBorder="1" applyAlignment="1">
      <alignment horizontal="center" vertical="center" wrapText="1"/>
    </xf>
    <xf numFmtId="14" fontId="32" fillId="0" borderId="16" xfId="0" applyNumberFormat="1"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3" fillId="0" borderId="17" xfId="0" applyFont="1" applyBorder="1" applyAlignment="1" applyProtection="1">
      <alignment horizontal="center" vertical="center" wrapText="1"/>
      <protection locked="0"/>
    </xf>
    <xf numFmtId="0" fontId="43" fillId="4" borderId="17" xfId="0" applyFont="1" applyFill="1" applyBorder="1" applyAlignment="1">
      <alignment horizontal="center" vertical="center" wrapText="1"/>
    </xf>
    <xf numFmtId="0" fontId="43" fillId="0" borderId="17" xfId="0" applyFont="1" applyBorder="1" applyAlignment="1" applyProtection="1">
      <alignment horizontal="center" vertical="center" wrapText="1"/>
      <protection hidden="1"/>
    </xf>
    <xf numFmtId="0" fontId="43" fillId="0" borderId="17" xfId="0" quotePrefix="1" applyFont="1" applyBorder="1" applyAlignment="1" applyProtection="1">
      <alignment horizontal="center" vertical="center" wrapText="1"/>
      <protection hidden="1"/>
    </xf>
    <xf numFmtId="0" fontId="44" fillId="0" borderId="17" xfId="0" applyFont="1" applyBorder="1" applyAlignment="1" applyProtection="1">
      <alignment horizontal="center" vertical="center" wrapText="1"/>
      <protection locked="0"/>
    </xf>
    <xf numFmtId="14" fontId="44" fillId="0" borderId="17" xfId="0" applyNumberFormat="1" applyFont="1" applyBorder="1" applyAlignment="1" applyProtection="1">
      <alignment horizontal="center" vertical="center" wrapText="1"/>
      <protection locked="0"/>
    </xf>
    <xf numFmtId="0" fontId="42" fillId="8" borderId="17" xfId="0" applyFont="1" applyFill="1" applyBorder="1" applyAlignment="1" applyProtection="1">
      <alignment horizontal="center" vertical="center" wrapText="1"/>
      <protection locked="0"/>
    </xf>
    <xf numFmtId="0" fontId="43" fillId="8" borderId="17" xfId="0" applyFont="1" applyFill="1" applyBorder="1" applyAlignment="1" applyProtection="1">
      <alignment horizontal="center" vertical="center" wrapText="1"/>
      <protection locked="0"/>
    </xf>
    <xf numFmtId="0" fontId="43" fillId="0" borderId="17" xfId="0" applyFont="1" applyBorder="1" applyAlignment="1" applyProtection="1">
      <alignment horizontal="center" vertical="center" wrapText="1"/>
      <protection locked="0" hidden="1"/>
    </xf>
    <xf numFmtId="0" fontId="43" fillId="0" borderId="17" xfId="0" applyFont="1" applyBorder="1" applyAlignment="1">
      <alignment horizontal="center" vertical="center" wrapText="1"/>
    </xf>
    <xf numFmtId="0" fontId="43" fillId="0" borderId="18" xfId="0" applyFont="1" applyBorder="1" applyAlignment="1">
      <alignment horizontal="center" vertical="center" wrapText="1"/>
    </xf>
    <xf numFmtId="0" fontId="43" fillId="8" borderId="18" xfId="0" applyFont="1" applyFill="1" applyBorder="1" applyAlignment="1">
      <alignment horizontal="center" vertical="center" wrapText="1"/>
    </xf>
    <xf numFmtId="14" fontId="44" fillId="0" borderId="18" xfId="0" applyNumberFormat="1"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43" fillId="0" borderId="19" xfId="0" applyFont="1" applyBorder="1" applyAlignment="1">
      <alignment horizontal="center" vertical="center" wrapText="1"/>
    </xf>
    <xf numFmtId="0" fontId="43" fillId="8" borderId="19" xfId="0" applyFont="1" applyFill="1" applyBorder="1" applyAlignment="1">
      <alignment horizontal="center" vertical="center" wrapText="1"/>
    </xf>
    <xf numFmtId="14" fontId="44" fillId="0" borderId="19" xfId="0" applyNumberFormat="1" applyFont="1" applyBorder="1" applyAlignment="1" applyProtection="1">
      <alignment horizontal="center" vertical="center" wrapText="1"/>
      <protection locked="0"/>
    </xf>
    <xf numFmtId="0" fontId="44" fillId="0" borderId="19"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hidden="1"/>
    </xf>
    <xf numFmtId="0" fontId="44" fillId="4" borderId="17" xfId="0" applyFont="1" applyFill="1" applyBorder="1" applyAlignment="1" applyProtection="1">
      <alignment horizontal="center" vertical="center" wrapText="1"/>
      <protection locked="0"/>
    </xf>
    <xf numFmtId="0" fontId="45" fillId="0" borderId="10" xfId="0" applyFont="1" applyBorder="1" applyAlignment="1">
      <alignment horizontal="center" vertical="center" wrapText="1"/>
    </xf>
    <xf numFmtId="9" fontId="44" fillId="0" borderId="16" xfId="0" applyNumberFormat="1"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14" fontId="44" fillId="0" borderId="1" xfId="0" applyNumberFormat="1" applyFont="1" applyBorder="1" applyAlignment="1" applyProtection="1">
      <alignment horizontal="center" vertical="center" wrapText="1"/>
      <protection locked="0"/>
    </xf>
    <xf numFmtId="14" fontId="44" fillId="0" borderId="11" xfId="0" applyNumberFormat="1" applyFont="1" applyBorder="1" applyAlignment="1" applyProtection="1">
      <alignment horizontal="center" vertical="center" wrapText="1"/>
      <protection locked="0"/>
    </xf>
    <xf numFmtId="14" fontId="44" fillId="0" borderId="10" xfId="0" applyNumberFormat="1" applyFont="1" applyBorder="1" applyAlignment="1" applyProtection="1">
      <alignment horizontal="center" vertical="center" wrapText="1"/>
      <protection locked="0"/>
    </xf>
    <xf numFmtId="14" fontId="44" fillId="0" borderId="1" xfId="0" applyNumberFormat="1" applyFont="1" applyBorder="1" applyAlignment="1" applyProtection="1">
      <alignment horizontal="center" vertical="center"/>
      <protection locked="0"/>
    </xf>
    <xf numFmtId="0" fontId="32" fillId="0" borderId="16" xfId="0" applyFont="1" applyBorder="1" applyAlignment="1" applyProtection="1">
      <alignment horizontal="center" vertical="center" wrapText="1"/>
      <protection hidden="1"/>
    </xf>
    <xf numFmtId="9" fontId="32" fillId="0" borderId="10" xfId="7" applyFont="1" applyFill="1" applyBorder="1" applyAlignment="1" applyProtection="1">
      <alignment horizontal="center" vertical="center" wrapText="1"/>
      <protection locked="0"/>
    </xf>
    <xf numFmtId="9" fontId="32" fillId="0" borderId="11" xfId="7" applyFont="1" applyFill="1" applyBorder="1" applyAlignment="1" applyProtection="1">
      <alignment horizontal="center" vertical="center" wrapText="1"/>
      <protection locked="0"/>
    </xf>
    <xf numFmtId="14" fontId="38" fillId="0" borderId="11" xfId="0" applyNumberFormat="1" applyFont="1" applyBorder="1" applyAlignment="1" applyProtection="1">
      <alignment horizontal="center" vertical="center"/>
      <protection locked="0"/>
    </xf>
    <xf numFmtId="14" fontId="38" fillId="0" borderId="11"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8" fillId="4" borderId="10" xfId="0" applyFont="1" applyFill="1" applyBorder="1" applyAlignment="1" applyProtection="1">
      <alignment horizontal="center" vertical="center" wrapText="1"/>
      <protection locked="0"/>
    </xf>
    <xf numFmtId="14" fontId="38" fillId="0" borderId="10" xfId="0" applyNumberFormat="1" applyFont="1" applyBorder="1" applyAlignment="1" applyProtection="1">
      <alignment horizontal="center" vertical="center"/>
      <protection locked="0"/>
    </xf>
    <xf numFmtId="14" fontId="38" fillId="0" borderId="10" xfId="0" applyNumberFormat="1" applyFont="1" applyBorder="1" applyAlignment="1" applyProtection="1">
      <alignment horizontal="center" vertical="center" wrapText="1"/>
      <protection locked="0"/>
    </xf>
    <xf numFmtId="0" fontId="0" fillId="0" borderId="16" xfId="0" applyBorder="1" applyAlignment="1" applyProtection="1">
      <alignment horizontal="center" vertical="center" wrapText="1"/>
      <protection hidden="1"/>
    </xf>
    <xf numFmtId="0" fontId="32" fillId="0" borderId="7" xfId="0" quotePrefix="1" applyFont="1" applyBorder="1" applyAlignment="1" applyProtection="1">
      <alignment horizontal="left" vertical="center" wrapText="1"/>
      <protection hidden="1"/>
    </xf>
    <xf numFmtId="0" fontId="32" fillId="4" borderId="16" xfId="0" applyFont="1" applyFill="1" applyBorder="1" applyAlignment="1" applyProtection="1">
      <alignment horizontal="justify" vertical="center" wrapText="1"/>
      <protection locked="0"/>
    </xf>
    <xf numFmtId="0" fontId="32" fillId="4" borderId="16" xfId="0" applyFont="1" applyFill="1" applyBorder="1" applyAlignment="1" applyProtection="1">
      <alignment horizontal="center" vertical="center" wrapText="1"/>
      <protection locked="0"/>
    </xf>
    <xf numFmtId="0" fontId="44" fillId="4" borderId="1" xfId="0" applyFont="1" applyFill="1" applyBorder="1" applyAlignment="1" applyProtection="1">
      <alignment horizontal="center" vertical="center" wrapText="1"/>
      <protection locked="0"/>
    </xf>
    <xf numFmtId="14" fontId="44" fillId="0" borderId="11" xfId="0" applyNumberFormat="1" applyFont="1" applyBorder="1" applyAlignment="1" applyProtection="1">
      <alignment horizontal="center" vertical="center"/>
      <protection locked="0"/>
    </xf>
    <xf numFmtId="9" fontId="44" fillId="0" borderId="16" xfId="0" applyNumberFormat="1" applyFont="1" applyBorder="1" applyAlignment="1" applyProtection="1">
      <alignment vertical="center" wrapText="1"/>
      <protection locked="0"/>
    </xf>
    <xf numFmtId="0" fontId="44" fillId="4" borderId="16" xfId="0" applyFont="1" applyFill="1" applyBorder="1" applyAlignment="1" applyProtection="1">
      <alignment horizontal="center" vertical="center" wrapText="1"/>
      <protection locked="0"/>
    </xf>
    <xf numFmtId="0" fontId="46" fillId="0" borderId="10"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15" fillId="8" borderId="16" xfId="0" applyFont="1" applyFill="1" applyBorder="1" applyAlignment="1">
      <alignment horizontal="center" vertical="center" wrapText="1"/>
    </xf>
    <xf numFmtId="14" fontId="44" fillId="0" borderId="16" xfId="0" applyNumberFormat="1" applyFont="1" applyBorder="1" applyAlignment="1" applyProtection="1">
      <alignment horizontal="center" vertical="center" wrapText="1"/>
      <protection locked="0"/>
    </xf>
    <xf numFmtId="0" fontId="44" fillId="0" borderId="1" xfId="0" quotePrefix="1" applyFont="1" applyBorder="1" applyAlignment="1" applyProtection="1">
      <alignment horizontal="center" vertical="center" wrapText="1"/>
      <protection hidden="1"/>
    </xf>
    <xf numFmtId="0" fontId="43" fillId="0" borderId="1" xfId="0" quotePrefix="1" applyFont="1" applyBorder="1" applyAlignment="1" applyProtection="1">
      <alignment horizontal="center" vertical="center" wrapText="1"/>
      <protection locked="0"/>
    </xf>
    <xf numFmtId="0" fontId="44" fillId="0" borderId="1" xfId="0" quotePrefix="1" applyFont="1" applyBorder="1" applyAlignment="1" applyProtection="1">
      <alignment horizontal="center" vertical="center" wrapText="1"/>
      <protection locked="0"/>
    </xf>
    <xf numFmtId="9" fontId="44" fillId="0" borderId="16" xfId="7" applyFont="1" applyBorder="1" applyAlignment="1" applyProtection="1">
      <alignment horizontal="center" vertical="center" wrapText="1"/>
      <protection locked="0"/>
    </xf>
    <xf numFmtId="9" fontId="44" fillId="0" borderId="16" xfId="7" applyFont="1" applyFill="1" applyBorder="1" applyAlignment="1" applyProtection="1">
      <alignment horizontal="center" vertical="center" wrapText="1"/>
      <protection locked="0"/>
    </xf>
    <xf numFmtId="0" fontId="44" fillId="0" borderId="16" xfId="0" quotePrefix="1" applyFont="1" applyBorder="1" applyAlignment="1" applyProtection="1">
      <alignment horizontal="center" vertical="center" wrapText="1"/>
      <protection hidden="1"/>
    </xf>
    <xf numFmtId="0" fontId="44" fillId="4" borderId="16" xfId="0" quotePrefix="1" applyFont="1" applyFill="1" applyBorder="1" applyAlignment="1" applyProtection="1">
      <alignment horizontal="center" vertical="center" wrapText="1"/>
      <protection locked="0"/>
    </xf>
    <xf numFmtId="0" fontId="44" fillId="0" borderId="10" xfId="0" quotePrefix="1" applyFont="1" applyBorder="1" applyAlignment="1" applyProtection="1">
      <alignment horizontal="center" vertical="center" wrapText="1"/>
      <protection hidden="1"/>
    </xf>
    <xf numFmtId="0" fontId="44" fillId="0" borderId="11" xfId="0" quotePrefix="1" applyFont="1" applyBorder="1" applyAlignment="1" applyProtection="1">
      <alignment horizontal="center" vertical="center" wrapText="1"/>
      <protection hidden="1"/>
    </xf>
    <xf numFmtId="0" fontId="44" fillId="0" borderId="16" xfId="0" applyFont="1" applyBorder="1" applyAlignment="1" applyProtection="1">
      <alignment horizontal="center" vertical="center" wrapText="1"/>
      <protection hidden="1"/>
    </xf>
    <xf numFmtId="0" fontId="43" fillId="0" borderId="16" xfId="0" applyFont="1" applyBorder="1" applyAlignment="1" applyProtection="1">
      <alignment horizontal="center" vertical="center" wrapText="1"/>
      <protection locked="0"/>
    </xf>
    <xf numFmtId="0" fontId="44" fillId="8" borderId="16" xfId="0" applyFont="1" applyFill="1" applyBorder="1" applyAlignment="1" applyProtection="1">
      <alignment horizontal="center" vertical="center" wrapText="1"/>
      <protection locked="0" hidden="1"/>
    </xf>
    <xf numFmtId="0" fontId="44" fillId="8" borderId="16" xfId="0" applyFont="1" applyFill="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hidden="1"/>
    </xf>
    <xf numFmtId="0" fontId="47" fillId="0" borderId="16"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0" borderId="10" xfId="0" quotePrefix="1" applyFont="1" applyBorder="1" applyAlignment="1" applyProtection="1">
      <alignment horizontal="center" vertical="center" wrapText="1"/>
      <protection hidden="1"/>
    </xf>
    <xf numFmtId="0" fontId="7" fillId="0" borderId="10" xfId="0" quotePrefix="1" applyFont="1" applyBorder="1" applyAlignment="1" applyProtection="1">
      <alignment horizontal="center" vertical="center" wrapText="1"/>
      <protection locked="0"/>
    </xf>
    <xf numFmtId="0" fontId="38" fillId="0" borderId="10" xfId="0" quotePrefix="1" applyFont="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9" fontId="32" fillId="0" borderId="16" xfId="0" applyNumberFormat="1" applyFont="1" applyBorder="1" applyAlignment="1" applyProtection="1">
      <alignment horizontal="center" vertical="center" wrapText="1"/>
      <protection locked="0"/>
    </xf>
    <xf numFmtId="9" fontId="23" fillId="0" borderId="16" xfId="7" applyFont="1" applyBorder="1" applyAlignment="1" applyProtection="1">
      <alignment horizontal="center" vertical="center" wrapText="1"/>
      <protection locked="0"/>
    </xf>
    <xf numFmtId="0" fontId="0" fillId="4" borderId="16" xfId="0" applyFill="1" applyBorder="1" applyAlignment="1" applyProtection="1">
      <alignment horizontal="center" vertical="center" wrapText="1"/>
      <protection hidden="1"/>
    </xf>
    <xf numFmtId="9" fontId="32" fillId="0" borderId="16" xfId="7" applyFont="1" applyFill="1" applyBorder="1" applyAlignment="1" applyProtection="1">
      <alignment horizontal="center" vertical="center" wrapText="1"/>
      <protection locked="0"/>
    </xf>
    <xf numFmtId="0" fontId="49" fillId="0" borderId="16" xfId="0" applyFon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32" fillId="8" borderId="16" xfId="0" applyFont="1" applyFill="1" applyBorder="1" applyAlignment="1" applyProtection="1">
      <alignment horizontal="center" vertical="center" wrapText="1"/>
      <protection locked="0" hidden="1"/>
    </xf>
    <xf numFmtId="0" fontId="32" fillId="8" borderId="16" xfId="0" applyFont="1" applyFill="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hidden="1"/>
    </xf>
    <xf numFmtId="0" fontId="40" fillId="0" borderId="16"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hidden="1"/>
    </xf>
    <xf numFmtId="9" fontId="32" fillId="0" borderId="16" xfId="7" applyFont="1" applyBorder="1" applyAlignment="1" applyProtection="1">
      <alignment horizontal="center" vertical="center" wrapText="1"/>
      <protection locked="0"/>
    </xf>
    <xf numFmtId="0" fontId="50" fillId="0" borderId="16" xfId="0" applyFont="1" applyBorder="1" applyAlignment="1" applyProtection="1">
      <alignment horizontal="center" vertical="center" wrapText="1"/>
      <protection hidden="1"/>
    </xf>
    <xf numFmtId="9" fontId="32" fillId="0" borderId="16" xfId="6" applyFont="1" applyBorder="1" applyAlignment="1" applyProtection="1">
      <alignment horizontal="center" vertical="center" wrapText="1"/>
      <protection locked="0"/>
    </xf>
    <xf numFmtId="9" fontId="32" fillId="8" borderId="16" xfId="7" applyFont="1" applyFill="1" applyBorder="1" applyAlignment="1" applyProtection="1">
      <alignment horizontal="center" vertical="center" wrapText="1"/>
      <protection locked="0"/>
    </xf>
    <xf numFmtId="9" fontId="23" fillId="0" borderId="0" xfId="7" applyFont="1" applyFill="1" applyAlignment="1" applyProtection="1">
      <alignment horizontal="center" vertical="center" wrapText="1"/>
      <protection hidden="1"/>
    </xf>
    <xf numFmtId="165" fontId="0" fillId="0" borderId="0" xfId="0" applyNumberFormat="1" applyAlignment="1" applyProtection="1">
      <alignment horizontal="center" vertical="center" wrapText="1"/>
      <protection hidden="1"/>
    </xf>
    <xf numFmtId="9" fontId="23" fillId="0" borderId="0" xfId="7" applyFont="1" applyAlignment="1" applyProtection="1">
      <alignment horizontal="center" vertical="center" wrapText="1"/>
      <protection hidden="1"/>
    </xf>
    <xf numFmtId="0" fontId="32" fillId="0" borderId="1" xfId="0" applyFont="1" applyBorder="1" applyAlignment="1" applyProtection="1">
      <alignment horizontal="center" vertical="center" wrapText="1"/>
      <protection hidden="1"/>
    </xf>
    <xf numFmtId="9" fontId="44" fillId="0" borderId="17" xfId="0" applyNumberFormat="1" applyFont="1" applyBorder="1" applyAlignment="1" applyProtection="1">
      <alignment horizontal="center" vertical="center" wrapText="1"/>
      <protection locked="0"/>
    </xf>
    <xf numFmtId="165" fontId="44" fillId="0" borderId="2" xfId="0" applyNumberFormat="1" applyFont="1" applyBorder="1" applyAlignment="1" applyProtection="1">
      <alignment horizontal="center" vertical="center" wrapText="1"/>
      <protection hidden="1"/>
    </xf>
    <xf numFmtId="0" fontId="44" fillId="0" borderId="17" xfId="0" applyFont="1" applyBorder="1" applyAlignment="1" applyProtection="1">
      <alignment horizontal="center" vertical="center" wrapText="1"/>
      <protection hidden="1"/>
    </xf>
    <xf numFmtId="165" fontId="44" fillId="0" borderId="17" xfId="0" applyNumberFormat="1" applyFont="1" applyBorder="1" applyAlignment="1" applyProtection="1">
      <alignment horizontal="center" vertical="center" wrapText="1"/>
      <protection hidden="1"/>
    </xf>
    <xf numFmtId="0" fontId="44" fillId="8" borderId="17" xfId="0" applyFont="1" applyFill="1" applyBorder="1" applyAlignment="1" applyProtection="1">
      <alignment horizontal="center" vertical="center" wrapText="1"/>
      <protection locked="0" hidden="1"/>
    </xf>
    <xf numFmtId="0" fontId="44" fillId="8" borderId="17" xfId="0" applyFont="1" applyFill="1" applyBorder="1" applyAlignment="1" applyProtection="1">
      <alignment horizontal="center" vertical="center" wrapText="1"/>
      <protection locked="0"/>
    </xf>
    <xf numFmtId="165" fontId="44" fillId="0" borderId="13" xfId="0" applyNumberFormat="1" applyFont="1" applyBorder="1" applyAlignment="1" applyProtection="1">
      <alignment horizontal="center" vertical="center" wrapText="1"/>
      <protection hidden="1"/>
    </xf>
    <xf numFmtId="0" fontId="44" fillId="8" borderId="17" xfId="0" applyFont="1" applyFill="1" applyBorder="1" applyAlignment="1" applyProtection="1">
      <alignment horizontal="center" vertical="center" wrapText="1"/>
      <protection hidden="1"/>
    </xf>
    <xf numFmtId="0" fontId="0" fillId="8" borderId="0" xfId="0" applyFill="1" applyAlignment="1" applyProtection="1">
      <alignment horizontal="center" vertical="center" wrapText="1"/>
      <protection hidden="1"/>
    </xf>
    <xf numFmtId="0" fontId="44" fillId="0" borderId="18" xfId="0" applyFont="1" applyBorder="1" applyAlignment="1" applyProtection="1">
      <alignment horizontal="center" vertical="center" wrapText="1"/>
      <protection hidden="1"/>
    </xf>
    <xf numFmtId="0" fontId="44" fillId="0" borderId="19" xfId="0" applyFont="1" applyBorder="1" applyAlignment="1" applyProtection="1">
      <alignment horizontal="center" vertical="center" wrapText="1"/>
      <protection hidden="1"/>
    </xf>
    <xf numFmtId="0" fontId="25" fillId="0" borderId="20" xfId="0" applyFont="1" applyBorder="1" applyAlignment="1" applyProtection="1">
      <alignment horizontal="center" vertical="center" wrapText="1"/>
      <protection hidden="1"/>
    </xf>
    <xf numFmtId="0" fontId="51" fillId="0" borderId="10" xfId="0" applyFont="1" applyBorder="1" applyAlignment="1">
      <alignment horizontal="center" vertical="center" wrapText="1"/>
    </xf>
    <xf numFmtId="9" fontId="44" fillId="8" borderId="16" xfId="7" applyFont="1" applyFill="1" applyBorder="1" applyAlignment="1" applyProtection="1">
      <alignment horizontal="center" vertical="center" wrapText="1"/>
      <protection locked="0"/>
    </xf>
    <xf numFmtId="14" fontId="45" fillId="0" borderId="1" xfId="0" applyNumberFormat="1" applyFont="1" applyBorder="1" applyAlignment="1">
      <alignment horizontal="center" vertical="center" wrapText="1"/>
    </xf>
    <xf numFmtId="165" fontId="0" fillId="0" borderId="0" xfId="0" applyNumberFormat="1" applyAlignment="1" applyProtection="1">
      <alignment horizontal="center" vertical="center"/>
      <protection hidden="1"/>
    </xf>
    <xf numFmtId="0" fontId="0" fillId="8" borderId="0" xfId="0" applyFill="1" applyAlignment="1" applyProtection="1">
      <alignment horizontal="center" vertical="center"/>
      <protection hidden="1"/>
    </xf>
    <xf numFmtId="0" fontId="44" fillId="0" borderId="1" xfId="0" applyFont="1" applyBorder="1" applyAlignment="1" applyProtection="1">
      <alignment horizontal="center" vertical="center"/>
      <protection hidden="1"/>
    </xf>
    <xf numFmtId="0" fontId="44" fillId="0" borderId="11" xfId="0" applyFont="1" applyBorder="1" applyAlignment="1" applyProtection="1">
      <alignment horizontal="center" vertical="center"/>
      <protection hidden="1"/>
    </xf>
    <xf numFmtId="14" fontId="44" fillId="0" borderId="10" xfId="0" applyNumberFormat="1" applyFont="1" applyBorder="1" applyAlignment="1" applyProtection="1">
      <alignment horizontal="center" vertical="center"/>
      <protection locked="0"/>
    </xf>
    <xf numFmtId="0" fontId="44" fillId="0" borderId="16" xfId="0" applyFont="1" applyBorder="1" applyAlignment="1" applyProtection="1">
      <alignment horizontal="center" vertical="center"/>
      <protection hidden="1"/>
    </xf>
    <xf numFmtId="14" fontId="44" fillId="4" borderId="16" xfId="0" applyNumberFormat="1" applyFont="1" applyFill="1" applyBorder="1" applyAlignment="1" applyProtection="1">
      <alignment horizontal="center" vertical="center" wrapText="1"/>
      <protection locked="0"/>
    </xf>
    <xf numFmtId="14" fontId="44" fillId="0" borderId="11" xfId="0" applyNumberFormat="1" applyFont="1" applyBorder="1" applyAlignment="1" applyProtection="1">
      <alignment horizontal="center" vertical="center"/>
      <protection hidden="1"/>
    </xf>
    <xf numFmtId="0" fontId="42" fillId="0" borderId="1" xfId="0" applyFont="1" applyBorder="1" applyAlignment="1" applyProtection="1">
      <alignment vertical="center" wrapText="1"/>
      <protection locked="0"/>
    </xf>
    <xf numFmtId="14" fontId="32" fillId="8" borderId="1" xfId="0" applyNumberFormat="1" applyFont="1" applyFill="1" applyBorder="1" applyAlignment="1" applyProtection="1">
      <alignment horizontal="center" vertical="center" wrapText="1"/>
      <protection locked="0" hidden="1"/>
    </xf>
    <xf numFmtId="0" fontId="32" fillId="8" borderId="1" xfId="0" quotePrefix="1" applyFont="1" applyFill="1" applyBorder="1" applyAlignment="1" applyProtection="1">
      <alignment horizontal="center" vertical="center" wrapText="1"/>
      <protection locked="0" hidden="1"/>
    </xf>
    <xf numFmtId="14" fontId="32" fillId="0" borderId="11" xfId="0" applyNumberFormat="1" applyFont="1" applyBorder="1" applyAlignment="1" applyProtection="1">
      <alignment horizontal="center" vertical="center" wrapText="1"/>
      <protection locked="0" hidden="1"/>
    </xf>
    <xf numFmtId="9" fontId="44" fillId="0" borderId="12" xfId="7" applyFont="1" applyFill="1" applyBorder="1" applyAlignment="1" applyProtection="1">
      <alignment horizontal="center" vertical="center" wrapText="1"/>
      <protection locked="0"/>
    </xf>
    <xf numFmtId="0" fontId="32" fillId="8" borderId="11" xfId="0" applyFont="1" applyFill="1" applyBorder="1" applyAlignment="1" applyProtection="1">
      <alignment horizontal="center" vertical="center" wrapText="1"/>
      <protection locked="0" hidden="1"/>
    </xf>
    <xf numFmtId="14" fontId="32" fillId="8" borderId="11" xfId="0" applyNumberFormat="1" applyFont="1" applyFill="1" applyBorder="1" applyAlignment="1" applyProtection="1">
      <alignment horizontal="center" vertical="center" wrapText="1"/>
      <protection locked="0" hidden="1"/>
    </xf>
    <xf numFmtId="14" fontId="32" fillId="0" borderId="10" xfId="0" applyNumberFormat="1" applyFont="1" applyBorder="1" applyAlignment="1" applyProtection="1">
      <alignment horizontal="center" vertical="center" wrapText="1"/>
      <protection locked="0" hidden="1"/>
    </xf>
    <xf numFmtId="0" fontId="32" fillId="0" borderId="10" xfId="0" quotePrefix="1" applyFont="1" applyBorder="1" applyAlignment="1" applyProtection="1">
      <alignment horizontal="center" vertical="center" wrapText="1"/>
      <protection locked="0" hidden="1"/>
    </xf>
    <xf numFmtId="0" fontId="0" fillId="0" borderId="16" xfId="0" applyBorder="1" applyAlignment="1" applyProtection="1">
      <alignment horizontal="justify" vertical="center" wrapText="1"/>
      <protection hidden="1"/>
    </xf>
    <xf numFmtId="14" fontId="32" fillId="0" borderId="16" xfId="0" applyNumberFormat="1" applyFont="1" applyBorder="1" applyAlignment="1" applyProtection="1">
      <alignment horizontal="center" vertical="center" wrapText="1"/>
      <protection locked="0" hidden="1"/>
    </xf>
    <xf numFmtId="0" fontId="32" fillId="0" borderId="16" xfId="0" quotePrefix="1" applyFont="1" applyBorder="1" applyAlignment="1" applyProtection="1">
      <alignment horizontal="center" vertical="center" wrapText="1"/>
      <protection locked="0" hidden="1"/>
    </xf>
    <xf numFmtId="0" fontId="0" fillId="0" borderId="10" xfId="0" applyBorder="1" applyAlignment="1" applyProtection="1">
      <alignment horizontal="center" vertical="center" wrapText="1"/>
      <protection hidden="1"/>
    </xf>
    <xf numFmtId="0" fontId="32" fillId="0" borderId="1" xfId="0" quotePrefix="1" applyFont="1" applyBorder="1" applyAlignment="1" applyProtection="1">
      <alignment horizontal="center" vertical="center" wrapText="1"/>
      <protection locked="0"/>
    </xf>
    <xf numFmtId="9" fontId="23" fillId="0" borderId="16" xfId="6" applyFont="1" applyBorder="1" applyAlignment="1" applyProtection="1">
      <alignment horizontal="center" vertical="center" wrapText="1"/>
      <protection locked="0"/>
    </xf>
    <xf numFmtId="0" fontId="52" fillId="0" borderId="1" xfId="0" quotePrefix="1" applyFont="1" applyBorder="1" applyAlignment="1" applyProtection="1">
      <alignment horizontal="center" vertical="center" wrapText="1"/>
      <protection hidden="1"/>
    </xf>
    <xf numFmtId="14" fontId="52" fillId="0" borderId="1" xfId="0" applyNumberFormat="1" applyFont="1" applyBorder="1" applyAlignment="1" applyProtection="1">
      <alignment horizontal="center" vertical="center" wrapText="1"/>
      <protection locked="0"/>
    </xf>
    <xf numFmtId="0" fontId="52" fillId="8" borderId="1" xfId="0" applyFont="1" applyFill="1" applyBorder="1" applyAlignment="1" applyProtection="1">
      <alignment horizontal="center" vertical="center" wrapText="1"/>
      <protection hidden="1"/>
    </xf>
    <xf numFmtId="0" fontId="52" fillId="8" borderId="0" xfId="0" applyFont="1" applyFill="1" applyAlignment="1" applyProtection="1">
      <alignment horizontal="center" vertical="center" wrapText="1"/>
      <protection hidden="1"/>
    </xf>
    <xf numFmtId="0" fontId="52" fillId="0" borderId="11" xfId="0" applyFont="1" applyBorder="1" applyAlignment="1" applyProtection="1">
      <alignment horizontal="center" vertical="center" wrapText="1"/>
      <protection hidden="1"/>
    </xf>
    <xf numFmtId="14" fontId="52" fillId="0" borderId="11" xfId="0" applyNumberFormat="1" applyFont="1" applyBorder="1" applyAlignment="1" applyProtection="1">
      <alignment horizontal="center" vertical="center" wrapText="1"/>
      <protection locked="0"/>
    </xf>
    <xf numFmtId="0" fontId="52" fillId="0" borderId="0" xfId="0" applyFont="1" applyAlignment="1" applyProtection="1">
      <alignment horizontal="center" vertical="center" wrapText="1"/>
      <protection hidden="1"/>
    </xf>
    <xf numFmtId="0" fontId="52" fillId="0" borderId="10" xfId="0" quotePrefix="1" applyFont="1" applyBorder="1" applyAlignment="1" applyProtection="1">
      <alignment horizontal="center" vertical="center" wrapText="1"/>
      <protection hidden="1"/>
    </xf>
    <xf numFmtId="14" fontId="52" fillId="0" borderId="10" xfId="0" applyNumberFormat="1" applyFont="1" applyBorder="1" applyAlignment="1" applyProtection="1">
      <alignment horizontal="center" vertical="center" wrapText="1"/>
      <protection locked="0"/>
    </xf>
    <xf numFmtId="0" fontId="52" fillId="0" borderId="10" xfId="0" applyFont="1" applyBorder="1" applyAlignment="1" applyProtection="1">
      <alignment horizontal="center" vertical="center" wrapText="1"/>
      <protection hidden="1"/>
    </xf>
    <xf numFmtId="0" fontId="52" fillId="0" borderId="1" xfId="0" applyFont="1" applyBorder="1" applyAlignment="1" applyProtection="1">
      <alignment horizontal="center" vertical="center" wrapText="1"/>
      <protection hidden="1"/>
    </xf>
    <xf numFmtId="0" fontId="53" fillId="0" borderId="10" xfId="0" applyFont="1" applyBorder="1" applyAlignment="1" applyProtection="1">
      <alignment horizontal="center" vertical="center" wrapText="1"/>
      <protection locked="0"/>
    </xf>
    <xf numFmtId="0" fontId="52" fillId="0" borderId="16" xfId="0" applyFont="1" applyBorder="1" applyAlignment="1" applyProtection="1">
      <alignment horizontal="center" vertical="center" wrapText="1"/>
      <protection locked="0"/>
    </xf>
    <xf numFmtId="0" fontId="53" fillId="0" borderId="16" xfId="0" applyFont="1" applyBorder="1" applyAlignment="1" applyProtection="1">
      <alignment horizontal="center" vertical="center" wrapText="1"/>
      <protection locked="0"/>
    </xf>
    <xf numFmtId="0" fontId="52" fillId="8" borderId="16" xfId="0" applyFont="1" applyFill="1" applyBorder="1" applyAlignment="1" applyProtection="1">
      <alignment horizontal="center" vertical="center" wrapText="1"/>
      <protection locked="0" hidden="1"/>
    </xf>
    <xf numFmtId="0" fontId="52" fillId="8" borderId="16" xfId="0" applyFont="1" applyFill="1" applyBorder="1" applyAlignment="1" applyProtection="1">
      <alignment horizontal="center" vertical="center" wrapText="1"/>
      <protection locked="0"/>
    </xf>
    <xf numFmtId="9" fontId="52" fillId="0" borderId="16" xfId="0" applyNumberFormat="1" applyFont="1" applyBorder="1" applyAlignment="1" applyProtection="1">
      <alignment horizontal="center" vertical="center" wrapText="1"/>
      <protection locked="0"/>
    </xf>
    <xf numFmtId="0" fontId="53" fillId="0" borderId="16" xfId="0" applyFont="1" applyBorder="1" applyAlignment="1" applyProtection="1">
      <alignment horizontal="center" vertical="center" wrapText="1"/>
      <protection hidden="1"/>
    </xf>
    <xf numFmtId="0" fontId="54" fillId="0" borderId="16" xfId="0" applyFont="1" applyBorder="1" applyAlignment="1" applyProtection="1">
      <alignment horizontal="center" vertical="center" wrapText="1"/>
      <protection locked="0"/>
    </xf>
    <xf numFmtId="0" fontId="52" fillId="0" borderId="16" xfId="0" applyFont="1" applyBorder="1" applyAlignment="1" applyProtection="1">
      <alignment horizontal="center" vertical="center" wrapText="1"/>
      <protection hidden="1"/>
    </xf>
    <xf numFmtId="9" fontId="52" fillId="0" borderId="16" xfId="7" applyFont="1" applyBorder="1" applyAlignment="1" applyProtection="1">
      <alignment horizontal="center" vertical="center" wrapText="1"/>
      <protection locked="0"/>
    </xf>
    <xf numFmtId="0" fontId="52" fillId="0" borderId="1" xfId="0" applyFont="1" applyBorder="1" applyAlignment="1" applyProtection="1">
      <alignment vertical="center" wrapText="1"/>
      <protection locked="0"/>
    </xf>
    <xf numFmtId="0" fontId="52" fillId="0" borderId="11" xfId="0" applyFont="1" applyBorder="1" applyAlignment="1" applyProtection="1">
      <alignment vertical="center" wrapText="1"/>
      <protection locked="0"/>
    </xf>
    <xf numFmtId="9" fontId="52" fillId="0" borderId="1" xfId="0" applyNumberFormat="1" applyFont="1" applyBorder="1" applyAlignment="1" applyProtection="1">
      <alignment vertical="center" wrapText="1"/>
      <protection locked="0"/>
    </xf>
    <xf numFmtId="9" fontId="52" fillId="0" borderId="11" xfId="0" applyNumberFormat="1" applyFont="1" applyBorder="1" applyAlignment="1" applyProtection="1">
      <alignment vertical="center" wrapText="1"/>
      <protection locked="0"/>
    </xf>
    <xf numFmtId="9" fontId="52" fillId="0" borderId="1" xfId="7" applyFont="1" applyBorder="1" applyAlignment="1" applyProtection="1">
      <alignment vertical="center" wrapText="1"/>
      <protection locked="0"/>
    </xf>
    <xf numFmtId="0" fontId="52" fillId="0" borderId="10" xfId="0" applyFont="1" applyBorder="1" applyAlignment="1" applyProtection="1">
      <alignment vertical="center" wrapText="1"/>
      <protection locked="0"/>
    </xf>
    <xf numFmtId="9" fontId="52" fillId="0" borderId="10" xfId="0" applyNumberFormat="1" applyFont="1" applyBorder="1" applyAlignment="1" applyProtection="1">
      <alignment vertical="center" wrapText="1"/>
      <protection locked="0"/>
    </xf>
    <xf numFmtId="9" fontId="52" fillId="0" borderId="10" xfId="7" applyFont="1" applyBorder="1" applyAlignment="1" applyProtection="1">
      <alignment vertical="center" wrapText="1"/>
      <protection locked="0"/>
    </xf>
    <xf numFmtId="9" fontId="52" fillId="0" borderId="11" xfId="7" applyFont="1" applyBorder="1" applyAlignment="1" applyProtection="1">
      <alignment vertical="center" wrapText="1"/>
      <protection locked="0"/>
    </xf>
    <xf numFmtId="0" fontId="32" fillId="4" borderId="1" xfId="0" applyFont="1" applyFill="1" applyBorder="1" applyAlignment="1" applyProtection="1">
      <alignment vertical="center" wrapText="1"/>
      <protection locked="0"/>
    </xf>
    <xf numFmtId="0" fontId="0" fillId="0" borderId="21" xfId="0" applyBorder="1" applyAlignment="1" applyProtection="1">
      <alignment wrapText="1"/>
      <protection hidden="1"/>
    </xf>
    <xf numFmtId="0" fontId="0" fillId="0" borderId="22" xfId="0" applyBorder="1" applyAlignment="1" applyProtection="1">
      <alignment wrapText="1"/>
      <protection hidden="1"/>
    </xf>
    <xf numFmtId="0" fontId="55" fillId="0" borderId="1" xfId="0" applyFont="1" applyBorder="1" applyAlignment="1" applyProtection="1">
      <alignment horizontal="left" vertical="center" wrapText="1"/>
      <protection hidden="1"/>
    </xf>
    <xf numFmtId="0" fontId="55" fillId="0" borderId="1" xfId="0" applyFont="1" applyBorder="1" applyAlignment="1" applyProtection="1">
      <alignment horizontal="left" vertical="center" wrapText="1"/>
      <protection locked="0"/>
    </xf>
    <xf numFmtId="0" fontId="55" fillId="0" borderId="10" xfId="0" quotePrefix="1" applyFont="1" applyBorder="1" applyAlignment="1" applyProtection="1">
      <alignment horizontal="left" vertical="center" wrapText="1"/>
      <protection hidden="1"/>
    </xf>
    <xf numFmtId="0" fontId="33" fillId="0" borderId="10" xfId="0" applyFont="1" applyBorder="1" applyAlignment="1" applyProtection="1">
      <alignment horizontal="justify" vertical="center" wrapText="1"/>
      <protection locked="0"/>
    </xf>
    <xf numFmtId="0" fontId="55" fillId="0" borderId="11" xfId="0" applyFont="1" applyBorder="1" applyAlignment="1" applyProtection="1">
      <alignment horizontal="left" vertical="center" wrapText="1"/>
      <protection hidden="1"/>
    </xf>
    <xf numFmtId="0" fontId="55" fillId="0" borderId="10" xfId="0" applyFont="1" applyBorder="1" applyAlignment="1" applyProtection="1">
      <alignment horizontal="left" vertical="center" wrapText="1"/>
      <protection locked="0"/>
    </xf>
    <xf numFmtId="0" fontId="55" fillId="0" borderId="11" xfId="0" applyFont="1" applyBorder="1" applyAlignment="1" applyProtection="1">
      <alignment horizontal="left" vertical="center" wrapText="1"/>
      <protection locked="0"/>
    </xf>
    <xf numFmtId="9" fontId="23" fillId="0" borderId="16" xfId="6" applyFont="1" applyBorder="1" applyAlignment="1" applyProtection="1">
      <alignment horizontal="left" vertical="center" wrapText="1"/>
      <protection locked="0"/>
    </xf>
    <xf numFmtId="0" fontId="36" fillId="0" borderId="16" xfId="0" applyFont="1" applyBorder="1" applyAlignment="1" applyProtection="1">
      <alignment horizontal="center" vertical="center" wrapText="1"/>
      <protection hidden="1"/>
    </xf>
    <xf numFmtId="0" fontId="33" fillId="0" borderId="16" xfId="0" applyFont="1" applyBorder="1" applyAlignment="1" applyProtection="1">
      <alignment horizontal="left" vertical="center" wrapText="1"/>
      <protection locked="0"/>
    </xf>
    <xf numFmtId="0" fontId="29" fillId="0" borderId="16" xfId="0" applyFont="1" applyBorder="1" applyAlignment="1" applyProtection="1">
      <alignment horizontal="center" vertical="center" wrapText="1"/>
      <protection locked="0"/>
    </xf>
    <xf numFmtId="0" fontId="36" fillId="0" borderId="16" xfId="0" applyFont="1" applyBorder="1" applyAlignment="1" applyProtection="1">
      <alignment horizontal="left" vertical="center" wrapText="1"/>
      <protection hidden="1"/>
    </xf>
    <xf numFmtId="0" fontId="33" fillId="4" borderId="16" xfId="0" applyFont="1" applyFill="1" applyBorder="1" applyAlignment="1" applyProtection="1">
      <alignment horizontal="left" vertical="center" wrapText="1"/>
      <protection locked="0"/>
    </xf>
    <xf numFmtId="0" fontId="55" fillId="0" borderId="16" xfId="0" applyFont="1" applyBorder="1" applyAlignment="1" applyProtection="1">
      <alignment horizontal="left" vertical="center" wrapText="1"/>
      <protection locked="0"/>
    </xf>
    <xf numFmtId="0" fontId="0" fillId="0" borderId="10" xfId="0" applyBorder="1"/>
    <xf numFmtId="166" fontId="44" fillId="0" borderId="10" xfId="0" applyNumberFormat="1" applyFont="1" applyBorder="1" applyAlignment="1" applyProtection="1">
      <alignment horizontal="center" vertical="center" wrapText="1"/>
      <protection locked="0" hidden="1"/>
    </xf>
    <xf numFmtId="0" fontId="0" fillId="0" borderId="11" xfId="0" applyBorder="1"/>
    <xf numFmtId="165" fontId="0" fillId="0" borderId="11" xfId="0" applyNumberFormat="1" applyBorder="1" applyAlignment="1" applyProtection="1">
      <alignment horizontal="center" vertical="center" wrapText="1"/>
      <protection hidden="1"/>
    </xf>
    <xf numFmtId="165" fontId="0" fillId="0" borderId="10" xfId="0" applyNumberFormat="1" applyBorder="1" applyAlignment="1" applyProtection="1">
      <alignment horizontal="center" vertical="center" wrapText="1"/>
      <protection hidden="1"/>
    </xf>
    <xf numFmtId="165" fontId="0" fillId="0" borderId="1" xfId="0" applyNumberFormat="1" applyBorder="1" applyAlignment="1" applyProtection="1">
      <alignment horizontal="center" vertical="center" wrapText="1"/>
      <protection hidden="1"/>
    </xf>
    <xf numFmtId="9" fontId="44" fillId="0" borderId="15" xfId="7" applyFont="1" applyFill="1" applyBorder="1" applyAlignment="1" applyProtection="1">
      <alignment horizontal="center" vertical="center" wrapText="1"/>
      <protection locked="0"/>
    </xf>
    <xf numFmtId="0" fontId="45" fillId="0" borderId="12" xfId="0" applyFont="1" applyBorder="1" applyAlignment="1">
      <alignment horizontal="center" vertical="center" wrapText="1"/>
    </xf>
    <xf numFmtId="0" fontId="44" fillId="8" borderId="11" xfId="0" applyFont="1" applyFill="1" applyBorder="1" applyAlignment="1" applyProtection="1">
      <alignment horizontal="center" vertical="center" wrapText="1"/>
      <protection locked="0"/>
    </xf>
    <xf numFmtId="0" fontId="44" fillId="8" borderId="11" xfId="0" applyFont="1" applyFill="1" applyBorder="1" applyAlignment="1" applyProtection="1">
      <alignment horizontal="center" vertical="center" wrapText="1"/>
      <protection locked="0" hidden="1"/>
    </xf>
    <xf numFmtId="9" fontId="44" fillId="8" borderId="11" xfId="7" applyFont="1" applyFill="1" applyBorder="1" applyAlignment="1" applyProtection="1">
      <alignment horizontal="center" vertical="center" wrapText="1"/>
    </xf>
    <xf numFmtId="0" fontId="44" fillId="8" borderId="11" xfId="0" quotePrefix="1" applyFont="1" applyFill="1" applyBorder="1" applyAlignment="1" applyProtection="1">
      <alignment horizontal="center" vertical="center" wrapText="1"/>
      <protection locked="0"/>
    </xf>
    <xf numFmtId="0" fontId="44" fillId="8" borderId="11" xfId="0" quotePrefix="1" applyFont="1" applyFill="1" applyBorder="1" applyAlignment="1" applyProtection="1">
      <alignment horizontal="center" vertical="center" wrapText="1"/>
      <protection hidden="1"/>
    </xf>
    <xf numFmtId="14" fontId="44" fillId="8" borderId="11" xfId="0" applyNumberFormat="1" applyFont="1" applyFill="1" applyBorder="1" applyAlignment="1" applyProtection="1">
      <alignment horizontal="center" vertical="center" wrapText="1"/>
      <protection locked="0"/>
    </xf>
    <xf numFmtId="0" fontId="44" fillId="8" borderId="11" xfId="0" applyFont="1" applyFill="1" applyBorder="1" applyAlignment="1" applyProtection="1">
      <alignment horizontal="center" vertical="center"/>
      <protection hidden="1"/>
    </xf>
    <xf numFmtId="14" fontId="45" fillId="0" borderId="10" xfId="0" applyNumberFormat="1" applyFont="1" applyBorder="1" applyAlignment="1">
      <alignment horizontal="center" vertical="center" wrapText="1"/>
    </xf>
    <xf numFmtId="0" fontId="44" fillId="0" borderId="10" xfId="0" applyFont="1" applyBorder="1" applyAlignment="1" applyProtection="1">
      <alignment horizontal="center" vertical="center"/>
      <protection hidden="1"/>
    </xf>
    <xf numFmtId="14" fontId="45" fillId="0" borderId="11" xfId="0" applyNumberFormat="1" applyFont="1" applyBorder="1" applyAlignment="1">
      <alignment horizontal="center" vertical="center" wrapText="1"/>
    </xf>
    <xf numFmtId="0" fontId="43" fillId="0" borderId="10" xfId="0" quotePrefix="1" applyFont="1" applyBorder="1" applyAlignment="1" applyProtection="1">
      <alignment horizontal="center" vertical="center" wrapText="1"/>
      <protection locked="0"/>
    </xf>
    <xf numFmtId="0" fontId="44" fillId="0" borderId="10" xfId="0" quotePrefix="1" applyFont="1" applyBorder="1" applyAlignment="1" applyProtection="1">
      <alignment horizontal="center" vertical="center" wrapText="1"/>
      <protection locked="0"/>
    </xf>
    <xf numFmtId="0" fontId="43" fillId="0" borderId="11" xfId="0" quotePrefix="1" applyFont="1" applyBorder="1" applyAlignment="1" applyProtection="1">
      <alignment horizontal="center" vertical="center" wrapText="1"/>
      <protection locked="0"/>
    </xf>
    <xf numFmtId="0" fontId="42" fillId="8" borderId="16" xfId="0" applyFont="1" applyFill="1" applyBorder="1" applyAlignment="1" applyProtection="1">
      <alignment horizontal="center" vertical="center" wrapText="1"/>
      <protection locked="0"/>
    </xf>
    <xf numFmtId="9" fontId="44" fillId="8" borderId="16" xfId="7" applyFont="1" applyFill="1" applyBorder="1" applyAlignment="1" applyProtection="1">
      <alignment horizontal="center" vertical="center" wrapText="1"/>
    </xf>
    <xf numFmtId="0" fontId="42" fillId="10" borderId="16" xfId="0" applyFont="1" applyFill="1" applyBorder="1" applyAlignment="1" applyProtection="1">
      <alignment horizontal="center" vertical="center" wrapText="1"/>
      <protection locked="0"/>
    </xf>
    <xf numFmtId="9" fontId="42" fillId="0" borderId="16" xfId="7" applyFont="1" applyFill="1" applyBorder="1" applyAlignment="1" applyProtection="1">
      <alignment horizontal="center" vertical="center" wrapText="1"/>
      <protection locked="0"/>
    </xf>
    <xf numFmtId="0" fontId="42" fillId="11" borderId="16" xfId="0" applyFont="1" applyFill="1" applyBorder="1" applyAlignment="1" applyProtection="1">
      <alignment horizontal="center" vertical="center" wrapText="1"/>
      <protection locked="0"/>
    </xf>
    <xf numFmtId="9" fontId="42" fillId="8" borderId="16" xfId="7" applyFont="1" applyFill="1" applyBorder="1" applyAlignment="1" applyProtection="1">
      <alignment horizontal="center" vertical="center" wrapText="1"/>
      <protection locked="0"/>
    </xf>
    <xf numFmtId="0" fontId="44" fillId="8" borderId="16" xfId="0" quotePrefix="1" applyFont="1" applyFill="1" applyBorder="1" applyAlignment="1" applyProtection="1">
      <alignment horizontal="center" vertical="center" wrapText="1"/>
      <protection locked="0"/>
    </xf>
    <xf numFmtId="0" fontId="44" fillId="8" borderId="16" xfId="0" quotePrefix="1" applyFont="1" applyFill="1" applyBorder="1" applyAlignment="1" applyProtection="1">
      <alignment horizontal="center" vertical="center" wrapText="1"/>
      <protection hidden="1"/>
    </xf>
    <xf numFmtId="14" fontId="44" fillId="8" borderId="16" xfId="0" applyNumberFormat="1" applyFont="1" applyFill="1" applyBorder="1" applyAlignment="1" applyProtection="1">
      <alignment horizontal="center" vertical="center" wrapText="1"/>
      <protection locked="0"/>
    </xf>
    <xf numFmtId="0" fontId="44" fillId="8" borderId="16" xfId="0" applyFont="1" applyFill="1" applyBorder="1" applyAlignment="1" applyProtection="1">
      <alignment horizontal="center" vertical="center"/>
      <protection hidden="1"/>
    </xf>
    <xf numFmtId="0" fontId="44" fillId="0" borderId="10" xfId="0" quotePrefix="1" applyFont="1" applyBorder="1" applyAlignment="1" applyProtection="1">
      <alignment horizontal="center" vertical="center" wrapText="1"/>
      <protection locked="0" hidden="1"/>
    </xf>
    <xf numFmtId="14" fontId="44" fillId="0" borderId="10" xfId="0" applyNumberFormat="1" applyFont="1" applyBorder="1" applyAlignment="1" applyProtection="1">
      <alignment horizontal="center" vertical="center" wrapText="1"/>
      <protection locked="0" hidden="1"/>
    </xf>
    <xf numFmtId="14" fontId="45" fillId="0" borderId="10" xfId="0" applyNumberFormat="1" applyFont="1" applyBorder="1" applyAlignment="1">
      <alignment horizontal="center" vertical="center"/>
    </xf>
    <xf numFmtId="14" fontId="44" fillId="0" borderId="10" xfId="0" applyNumberFormat="1" applyFont="1" applyBorder="1" applyAlignment="1" applyProtection="1">
      <alignment horizontal="center" vertical="center"/>
      <protection hidden="1"/>
    </xf>
    <xf numFmtId="14" fontId="45" fillId="0" borderId="11" xfId="0" applyNumberFormat="1" applyFont="1" applyBorder="1" applyAlignment="1">
      <alignment horizontal="center" vertical="center"/>
    </xf>
    <xf numFmtId="0" fontId="43" fillId="0" borderId="12" xfId="0" applyFont="1" applyBorder="1" applyAlignment="1" applyProtection="1">
      <alignment horizontal="center" vertical="center" wrapText="1"/>
      <protection locked="0"/>
    </xf>
    <xf numFmtId="9" fontId="25" fillId="0" borderId="12" xfId="7" applyFont="1"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25" fillId="0" borderId="12" xfId="0" applyFont="1" applyBorder="1" applyProtection="1">
      <protection hidden="1"/>
    </xf>
    <xf numFmtId="0" fontId="32" fillId="0" borderId="53" xfId="0" applyFont="1" applyBorder="1" applyAlignment="1" applyProtection="1">
      <alignment horizontal="center" vertical="center" wrapText="1"/>
      <protection locked="0"/>
    </xf>
    <xf numFmtId="9" fontId="44" fillId="12" borderId="16" xfId="7" applyFont="1" applyFill="1" applyBorder="1" applyAlignment="1" applyProtection="1">
      <alignment horizontal="center" vertical="center" wrapText="1"/>
      <protection locked="0"/>
    </xf>
    <xf numFmtId="0" fontId="44" fillId="0" borderId="20" xfId="0" applyFont="1" applyBorder="1" applyAlignment="1" applyProtection="1">
      <alignment horizontal="center" vertical="center" wrapText="1"/>
      <protection hidden="1"/>
    </xf>
    <xf numFmtId="0" fontId="32" fillId="0" borderId="25" xfId="0" quotePrefix="1" applyFont="1" applyBorder="1" applyAlignment="1" applyProtection="1">
      <alignment horizontal="left" vertical="center" wrapText="1"/>
      <protection hidden="1"/>
    </xf>
    <xf numFmtId="0" fontId="0" fillId="0" borderId="16" xfId="0" applyBorder="1"/>
    <xf numFmtId="0" fontId="37" fillId="0" borderId="54" xfId="0" applyFont="1" applyBorder="1" applyAlignment="1" applyProtection="1">
      <alignment horizontal="center" vertical="center" wrapText="1"/>
      <protection locked="0"/>
    </xf>
    <xf numFmtId="0" fontId="32" fillId="0" borderId="53" xfId="0" applyFont="1" applyBorder="1" applyAlignment="1" applyProtection="1">
      <alignment horizontal="left" vertical="center" wrapText="1"/>
      <protection locked="0"/>
    </xf>
    <xf numFmtId="0" fontId="4" fillId="0" borderId="53" xfId="0" applyFont="1" applyBorder="1" applyAlignment="1" applyProtection="1">
      <alignment horizontal="center" vertical="center" wrapText="1"/>
      <protection locked="0"/>
    </xf>
    <xf numFmtId="0" fontId="41" fillId="0" borderId="53"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hidden="1"/>
    </xf>
    <xf numFmtId="0" fontId="42" fillId="0" borderId="25" xfId="0" applyFont="1" applyBorder="1" applyAlignment="1" applyProtection="1">
      <alignment horizontal="center" vertical="center" wrapText="1"/>
      <protection locked="0"/>
    </xf>
    <xf numFmtId="0" fontId="44" fillId="4" borderId="16" xfId="0" applyFont="1" applyFill="1" applyBorder="1" applyAlignment="1" applyProtection="1">
      <alignment horizontal="center" vertical="center" wrapText="1"/>
      <protection locked="0" hidden="1"/>
    </xf>
    <xf numFmtId="9" fontId="42" fillId="0" borderId="16" xfId="7" applyFont="1" applyBorder="1" applyAlignment="1" applyProtection="1">
      <alignment horizontal="center" vertical="center" wrapText="1"/>
      <protection locked="0"/>
    </xf>
    <xf numFmtId="0" fontId="44" fillId="0" borderId="53" xfId="0" applyFont="1" applyBorder="1" applyAlignment="1" applyProtection="1">
      <alignment horizontal="center" vertical="center" wrapText="1"/>
      <protection locked="0"/>
    </xf>
    <xf numFmtId="0" fontId="43" fillId="0" borderId="16" xfId="0" applyFont="1" applyBorder="1" applyAlignment="1">
      <alignment horizontal="center" vertical="center" wrapText="1"/>
    </xf>
    <xf numFmtId="0" fontId="42" fillId="0" borderId="54" xfId="0" applyFont="1" applyBorder="1" applyAlignment="1" applyProtection="1">
      <alignment horizontal="center" vertical="center" wrapText="1"/>
      <protection locked="0"/>
    </xf>
    <xf numFmtId="0" fontId="43" fillId="0" borderId="53" xfId="0" applyFont="1" applyBorder="1" applyAlignment="1" applyProtection="1">
      <alignment horizontal="center" vertical="center" wrapText="1"/>
      <protection locked="0"/>
    </xf>
    <xf numFmtId="9" fontId="44" fillId="0" borderId="53" xfId="7" applyFont="1" applyBorder="1" applyAlignment="1" applyProtection="1">
      <alignment horizontal="center" vertical="center" wrapText="1"/>
      <protection locked="0"/>
    </xf>
    <xf numFmtId="0" fontId="42" fillId="0" borderId="53" xfId="0" applyFont="1" applyBorder="1" applyAlignment="1" applyProtection="1">
      <alignment horizontal="center" vertical="center" wrapText="1"/>
      <protection locked="0"/>
    </xf>
    <xf numFmtId="9" fontId="42" fillId="0" borderId="53" xfId="7" applyFont="1" applyBorder="1" applyAlignment="1" applyProtection="1">
      <alignment horizontal="center" vertical="center" wrapText="1"/>
      <protection locked="0"/>
    </xf>
    <xf numFmtId="0" fontId="44" fillId="0" borderId="3" xfId="0" quotePrefix="1" applyFont="1" applyBorder="1" applyAlignment="1" applyProtection="1">
      <alignment horizontal="center" vertical="center" wrapText="1"/>
      <protection hidden="1"/>
    </xf>
    <xf numFmtId="0" fontId="44" fillId="0" borderId="7" xfId="0" applyFont="1" applyBorder="1" applyAlignment="1" applyProtection="1">
      <alignment horizontal="center" vertical="center" wrapText="1"/>
      <protection hidden="1"/>
    </xf>
    <xf numFmtId="0" fontId="44" fillId="0" borderId="26" xfId="0" quotePrefix="1" applyFont="1" applyBorder="1" applyAlignment="1" applyProtection="1">
      <alignment horizontal="center" vertical="center" wrapText="1"/>
      <protection hidden="1"/>
    </xf>
    <xf numFmtId="0" fontId="44" fillId="0" borderId="7" xfId="0" quotePrefix="1" applyFont="1" applyBorder="1" applyAlignment="1" applyProtection="1">
      <alignment horizontal="center" vertical="center" wrapText="1"/>
      <protection hidden="1"/>
    </xf>
    <xf numFmtId="0" fontId="44" fillId="0" borderId="25" xfId="0" quotePrefix="1" applyFont="1" applyBorder="1" applyAlignment="1" applyProtection="1">
      <alignment horizontal="center" vertical="center" wrapText="1"/>
      <protection hidden="1"/>
    </xf>
    <xf numFmtId="0" fontId="44" fillId="0" borderId="27" xfId="0" applyFont="1" applyBorder="1" applyAlignment="1" applyProtection="1">
      <alignment horizontal="center" vertical="center" wrapText="1"/>
      <protection locked="0"/>
    </xf>
    <xf numFmtId="0" fontId="44" fillId="0" borderId="28"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hidden="1"/>
    </xf>
    <xf numFmtId="9" fontId="43" fillId="0" borderId="16" xfId="7" applyFont="1" applyBorder="1" applyAlignment="1" applyProtection="1">
      <alignment horizontal="center" vertical="center" wrapText="1"/>
      <protection locked="0"/>
    </xf>
    <xf numFmtId="9" fontId="47" fillId="0" borderId="16" xfId="7" applyFont="1" applyBorder="1" applyAlignment="1" applyProtection="1">
      <alignment horizontal="center" vertical="center" wrapText="1"/>
      <protection locked="0"/>
    </xf>
    <xf numFmtId="0" fontId="44" fillId="0" borderId="21" xfId="0" applyFont="1" applyBorder="1" applyAlignment="1">
      <alignment horizontal="center" vertical="center" wrapText="1"/>
    </xf>
    <xf numFmtId="0" fontId="44" fillId="0" borderId="11" xfId="0" applyFont="1" applyBorder="1" applyAlignment="1">
      <alignment horizontal="center" vertical="center"/>
    </xf>
    <xf numFmtId="0" fontId="44" fillId="0" borderId="22" xfId="0" applyFont="1" applyBorder="1" applyAlignment="1">
      <alignment horizontal="center" vertical="center" wrapText="1"/>
    </xf>
    <xf numFmtId="0" fontId="44" fillId="0" borderId="10" xfId="0" applyFont="1" applyBorder="1" applyAlignment="1">
      <alignment horizontal="center" vertical="center"/>
    </xf>
    <xf numFmtId="0" fontId="44" fillId="0" borderId="29" xfId="0" applyFont="1" applyBorder="1" applyAlignment="1">
      <alignment horizontal="center" vertical="center" wrapText="1"/>
    </xf>
    <xf numFmtId="0" fontId="44" fillId="0" borderId="16" xfId="0" applyFont="1" applyBorder="1" applyAlignment="1">
      <alignment horizontal="center" vertical="center"/>
    </xf>
    <xf numFmtId="0" fontId="56" fillId="0" borderId="1" xfId="0" applyFont="1" applyBorder="1" applyAlignment="1">
      <alignment horizontal="center" vertical="center" wrapText="1"/>
    </xf>
    <xf numFmtId="0" fontId="44" fillId="0" borderId="1" xfId="0" applyFont="1" applyBorder="1" applyAlignment="1">
      <alignment horizontal="center" vertical="center"/>
    </xf>
    <xf numFmtId="9" fontId="43" fillId="0" borderId="10" xfId="7" applyFont="1" applyBorder="1" applyAlignment="1" applyProtection="1">
      <alignment horizontal="center" vertical="center" wrapText="1"/>
      <protection hidden="1"/>
    </xf>
    <xf numFmtId="9" fontId="43" fillId="0" borderId="11" xfId="7" applyFont="1" applyBorder="1" applyAlignment="1" applyProtection="1">
      <alignment horizontal="center" vertical="center" wrapText="1"/>
      <protection hidden="1"/>
    </xf>
    <xf numFmtId="0" fontId="42" fillId="12" borderId="16" xfId="0" applyFont="1" applyFill="1" applyBorder="1" applyAlignment="1" applyProtection="1">
      <alignment horizontal="center" vertical="center" wrapText="1"/>
      <protection locked="0"/>
    </xf>
    <xf numFmtId="0" fontId="43" fillId="0" borderId="1" xfId="0" quotePrefix="1" applyFont="1" applyBorder="1" applyAlignment="1" applyProtection="1">
      <alignment horizontal="center" vertical="center" wrapText="1"/>
      <protection hidden="1"/>
    </xf>
    <xf numFmtId="0" fontId="43" fillId="0" borderId="10" xfId="0" quotePrefix="1" applyFont="1" applyBorder="1" applyAlignment="1" applyProtection="1">
      <alignment horizontal="center" vertical="center" wrapText="1"/>
      <protection hidden="1"/>
    </xf>
    <xf numFmtId="0" fontId="43" fillId="4" borderId="10" xfId="0" quotePrefix="1" applyFont="1" applyFill="1" applyBorder="1" applyAlignment="1" applyProtection="1">
      <alignment horizontal="center" vertical="center" wrapText="1"/>
      <protection locked="0"/>
    </xf>
    <xf numFmtId="0" fontId="43" fillId="4" borderId="11" xfId="0" quotePrefix="1" applyFont="1" applyFill="1" applyBorder="1" applyAlignment="1" applyProtection="1">
      <alignment horizontal="center" vertical="center" wrapText="1"/>
      <protection locked="0"/>
    </xf>
    <xf numFmtId="0" fontId="43" fillId="4" borderId="16" xfId="0" applyFont="1" applyFill="1" applyBorder="1" applyAlignment="1" applyProtection="1">
      <alignment horizontal="center" vertical="center" wrapText="1"/>
      <protection locked="0"/>
    </xf>
    <xf numFmtId="14" fontId="43" fillId="4" borderId="16" xfId="0" applyNumberFormat="1" applyFont="1" applyFill="1" applyBorder="1" applyAlignment="1" applyProtection="1">
      <alignment horizontal="center" vertical="center" wrapText="1"/>
      <protection locked="0"/>
    </xf>
    <xf numFmtId="0" fontId="43" fillId="4" borderId="10" xfId="0" applyFont="1" applyFill="1" applyBorder="1" applyAlignment="1" applyProtection="1">
      <alignment horizontal="center" vertical="center" wrapText="1"/>
      <protection hidden="1"/>
    </xf>
    <xf numFmtId="0" fontId="43" fillId="4" borderId="11" xfId="0" applyFont="1" applyFill="1" applyBorder="1" applyAlignment="1" applyProtection="1">
      <alignment horizontal="center" vertical="center" wrapText="1"/>
      <protection hidden="1"/>
    </xf>
    <xf numFmtId="0" fontId="43" fillId="4" borderId="16" xfId="0" applyFont="1" applyFill="1" applyBorder="1" applyAlignment="1" applyProtection="1">
      <alignment horizontal="center" vertical="center" wrapText="1"/>
      <protection locked="0" hidden="1"/>
    </xf>
    <xf numFmtId="0" fontId="57" fillId="0" borderId="11" xfId="0" applyFont="1" applyBorder="1" applyAlignment="1" applyProtection="1">
      <alignment horizontal="center" vertical="center"/>
      <protection hidden="1"/>
    </xf>
    <xf numFmtId="0" fontId="56" fillId="0" borderId="11" xfId="0" applyFont="1" applyBorder="1" applyAlignment="1">
      <alignment horizontal="center" vertical="center" wrapText="1"/>
    </xf>
    <xf numFmtId="0" fontId="37" fillId="11" borderId="16" xfId="0" applyFont="1" applyFill="1" applyBorder="1" applyAlignment="1" applyProtection="1">
      <alignment horizontal="center" vertical="center" wrapText="1"/>
      <protection locked="0"/>
    </xf>
    <xf numFmtId="0" fontId="42" fillId="10" borderId="15" xfId="0" applyFont="1" applyFill="1" applyBorder="1" applyAlignment="1" applyProtection="1">
      <alignment vertical="center" wrapText="1"/>
      <protection locked="0"/>
    </xf>
    <xf numFmtId="0" fontId="42" fillId="10" borderId="13" xfId="0" applyFont="1" applyFill="1" applyBorder="1" applyAlignment="1" applyProtection="1">
      <alignment vertical="center" wrapText="1"/>
      <protection locked="0"/>
    </xf>
    <xf numFmtId="0" fontId="44" fillId="0" borderId="12" xfId="0" applyFont="1" applyBorder="1" applyAlignment="1">
      <alignment horizontal="center" vertical="center"/>
    </xf>
    <xf numFmtId="0" fontId="44" fillId="0" borderId="11" xfId="0" applyFont="1" applyBorder="1" applyAlignment="1">
      <alignment horizontal="center" vertical="center" wrapText="1"/>
    </xf>
    <xf numFmtId="0" fontId="44" fillId="0" borderId="16" xfId="0" applyFont="1" applyBorder="1" applyAlignment="1">
      <alignment horizontal="center" vertical="center" wrapText="1"/>
    </xf>
    <xf numFmtId="0" fontId="42" fillId="10" borderId="11" xfId="0" applyFont="1" applyFill="1" applyBorder="1" applyAlignment="1" applyProtection="1">
      <alignment vertical="center" wrapText="1"/>
      <protection locked="0"/>
    </xf>
    <xf numFmtId="0" fontId="42" fillId="10" borderId="16" xfId="0" applyFont="1" applyFill="1" applyBorder="1" applyAlignment="1" applyProtection="1">
      <alignment vertical="center" wrapText="1"/>
      <protection locked="0"/>
    </xf>
    <xf numFmtId="0" fontId="47" fillId="0" borderId="13" xfId="0" applyFont="1" applyBorder="1" applyAlignment="1" applyProtection="1">
      <alignment horizontal="center" vertical="center" wrapText="1"/>
      <protection locked="0"/>
    </xf>
    <xf numFmtId="9" fontId="43" fillId="0" borderId="13" xfId="7" applyFont="1" applyBorder="1" applyAlignment="1" applyProtection="1">
      <alignment horizontal="center" vertical="center" wrapText="1"/>
      <protection locked="0"/>
    </xf>
    <xf numFmtId="9" fontId="43" fillId="4" borderId="13" xfId="7" applyFont="1" applyFill="1" applyBorder="1" applyAlignment="1" applyProtection="1">
      <alignment horizontal="center" vertical="center" wrapText="1"/>
      <protection locked="0"/>
    </xf>
    <xf numFmtId="0" fontId="43" fillId="4" borderId="13" xfId="0" applyFont="1" applyFill="1" applyBorder="1" applyAlignment="1" applyProtection="1">
      <alignment horizontal="center" vertical="center" wrapText="1"/>
      <protection locked="0" hidden="1"/>
    </xf>
    <xf numFmtId="0" fontId="43" fillId="4" borderId="13"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locked="0"/>
    </xf>
    <xf numFmtId="0" fontId="44" fillId="0" borderId="0" xfId="0" applyFont="1" applyAlignment="1">
      <alignment horizontal="center" vertical="center" wrapText="1"/>
    </xf>
    <xf numFmtId="0" fontId="42" fillId="0" borderId="30" xfId="0" applyFont="1" applyBorder="1" applyAlignment="1" applyProtection="1">
      <alignment horizontal="center" vertical="center" wrapText="1"/>
      <protection locked="0"/>
    </xf>
    <xf numFmtId="0" fontId="44" fillId="8" borderId="13" xfId="0" applyFont="1" applyFill="1" applyBorder="1" applyAlignment="1" applyProtection="1">
      <alignment horizontal="center" vertical="center" wrapText="1"/>
      <protection locked="0" hidden="1"/>
    </xf>
    <xf numFmtId="0" fontId="0" fillId="0" borderId="12" xfId="0" applyBorder="1" applyAlignment="1" applyProtection="1">
      <alignment horizontal="left" vertical="top" wrapText="1"/>
      <protection hidden="1"/>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55" xfId="0" applyBorder="1" applyAlignment="1" applyProtection="1">
      <alignment horizontal="justify" vertical="center" wrapText="1"/>
      <protection hidden="1"/>
    </xf>
    <xf numFmtId="0" fontId="0" fillId="0" borderId="56" xfId="0" applyBorder="1" applyAlignment="1" applyProtection="1">
      <alignment horizontal="center" vertical="center" wrapText="1"/>
      <protection hidden="1"/>
    </xf>
    <xf numFmtId="0" fontId="50" fillId="0" borderId="56" xfId="0" applyFont="1" applyBorder="1" applyAlignment="1" applyProtection="1">
      <alignment horizontal="center" vertical="center"/>
      <protection hidden="1"/>
    </xf>
    <xf numFmtId="0" fontId="50" fillId="0" borderId="57" xfId="0" applyFont="1" applyBorder="1" applyAlignment="1" applyProtection="1">
      <alignment horizontal="center" vertical="center"/>
      <protection hidden="1"/>
    </xf>
    <xf numFmtId="0" fontId="25" fillId="0" borderId="1" xfId="0" applyFont="1" applyBorder="1" applyProtection="1">
      <protection hidden="1"/>
    </xf>
    <xf numFmtId="0" fontId="58" fillId="0" borderId="1" xfId="0" applyFont="1" applyBorder="1" applyAlignment="1">
      <alignment wrapText="1"/>
    </xf>
    <xf numFmtId="0" fontId="58" fillId="0" borderId="12" xfId="0" applyFont="1" applyBorder="1" applyAlignment="1">
      <alignment wrapText="1"/>
    </xf>
    <xf numFmtId="0" fontId="25" fillId="0" borderId="11" xfId="0" applyFont="1" applyBorder="1" applyProtection="1">
      <protection hidden="1"/>
    </xf>
    <xf numFmtId="0" fontId="58" fillId="0" borderId="11" xfId="0" applyFont="1" applyBorder="1" applyAlignment="1">
      <alignment wrapText="1"/>
    </xf>
    <xf numFmtId="9" fontId="23" fillId="0" borderId="16" xfId="8" applyFont="1" applyBorder="1" applyAlignment="1" applyProtection="1">
      <alignment horizontal="left" vertical="center" wrapText="1"/>
      <protection locked="0"/>
    </xf>
    <xf numFmtId="0" fontId="7" fillId="8" borderId="27" xfId="0" applyFont="1" applyFill="1" applyBorder="1" applyAlignment="1">
      <alignment horizontal="center" vertical="center" wrapText="1"/>
    </xf>
    <xf numFmtId="0" fontId="50" fillId="0" borderId="58" xfId="0" applyFont="1" applyBorder="1" applyAlignment="1" applyProtection="1">
      <alignment horizontal="center" vertical="center"/>
      <protection hidden="1"/>
    </xf>
    <xf numFmtId="0" fontId="25" fillId="0" borderId="16" xfId="0" applyFont="1" applyBorder="1" applyProtection="1">
      <protection hidden="1"/>
    </xf>
    <xf numFmtId="0" fontId="58" fillId="0" borderId="16" xfId="0" applyFont="1" applyBorder="1" applyAlignment="1">
      <alignment wrapText="1"/>
    </xf>
    <xf numFmtId="0" fontId="39" fillId="0" borderId="25" xfId="0" applyFont="1" applyBorder="1" applyAlignment="1" applyProtection="1">
      <alignment horizontal="center" vertical="center" wrapText="1"/>
      <protection locked="0"/>
    </xf>
    <xf numFmtId="9" fontId="32" fillId="12" borderId="16" xfId="8" applyFont="1" applyFill="1" applyBorder="1" applyAlignment="1" applyProtection="1">
      <alignment horizontal="justify" vertical="center" wrapText="1"/>
      <protection locked="0"/>
    </xf>
    <xf numFmtId="9" fontId="23" fillId="0" borderId="53" xfId="8" applyFont="1" applyBorder="1" applyAlignment="1" applyProtection="1">
      <alignment horizontal="left" vertical="center" wrapText="1"/>
      <protection locked="0"/>
    </xf>
    <xf numFmtId="0" fontId="4" fillId="0" borderId="53" xfId="0" applyFont="1" applyBorder="1" applyAlignment="1" applyProtection="1">
      <alignment vertical="center" wrapText="1"/>
      <protection locked="0"/>
    </xf>
    <xf numFmtId="0" fontId="32" fillId="0" borderId="53" xfId="0" applyFont="1" applyBorder="1" applyAlignment="1" applyProtection="1">
      <alignment vertical="center" wrapText="1"/>
      <protection locked="0"/>
    </xf>
    <xf numFmtId="0" fontId="59" fillId="0" borderId="16" xfId="0" applyFont="1" applyBorder="1" applyAlignment="1">
      <alignment wrapText="1"/>
    </xf>
    <xf numFmtId="9" fontId="32" fillId="0" borderId="13" xfId="8" applyFont="1" applyBorder="1" applyAlignment="1" applyProtection="1">
      <alignment vertical="center" wrapText="1"/>
      <protection locked="0"/>
    </xf>
    <xf numFmtId="9" fontId="32" fillId="0" borderId="12" xfId="7" applyFont="1" applyFill="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hidden="1"/>
    </xf>
    <xf numFmtId="9" fontId="44" fillId="0" borderId="33" xfId="0" applyNumberFormat="1" applyFont="1" applyBorder="1" applyAlignment="1" applyProtection="1">
      <alignment horizontal="center" vertical="center" wrapText="1"/>
      <protection locked="0"/>
    </xf>
    <xf numFmtId="0" fontId="43" fillId="8" borderId="33" xfId="0" quotePrefix="1" applyFont="1" applyFill="1" applyBorder="1" applyAlignment="1" applyProtection="1">
      <alignment horizontal="center" vertical="center" wrapText="1"/>
      <protection hidden="1"/>
    </xf>
    <xf numFmtId="0" fontId="43" fillId="8" borderId="33" xfId="0" quotePrefix="1" applyFont="1" applyFill="1" applyBorder="1" applyAlignment="1" applyProtection="1">
      <alignment horizontal="center" vertical="center" wrapText="1"/>
      <protection locked="0"/>
    </xf>
    <xf numFmtId="9" fontId="44" fillId="0" borderId="34" xfId="0" applyNumberFormat="1" applyFont="1" applyBorder="1" applyAlignment="1" applyProtection="1">
      <alignment horizontal="center" vertical="center" wrapText="1"/>
      <protection locked="0"/>
    </xf>
    <xf numFmtId="0" fontId="47" fillId="0" borderId="34" xfId="0" applyFont="1" applyBorder="1" applyAlignment="1" applyProtection="1">
      <alignment horizontal="center" vertical="center" wrapText="1"/>
      <protection locked="0"/>
    </xf>
    <xf numFmtId="9" fontId="46" fillId="0" borderId="34" xfId="7" applyFont="1" applyFill="1" applyBorder="1" applyAlignment="1" applyProtection="1">
      <alignment horizontal="center" vertical="center" wrapText="1"/>
      <protection locked="0"/>
    </xf>
    <xf numFmtId="0" fontId="46" fillId="0" borderId="34" xfId="0" applyFont="1" applyBorder="1" applyAlignment="1" applyProtection="1">
      <alignment horizontal="center" vertical="center" wrapText="1"/>
      <protection locked="0"/>
    </xf>
    <xf numFmtId="0" fontId="43" fillId="0" borderId="34" xfId="0" applyFont="1" applyBorder="1" applyAlignment="1" applyProtection="1">
      <alignment horizontal="center" vertical="center" wrapText="1"/>
      <protection locked="0"/>
    </xf>
    <xf numFmtId="9" fontId="44" fillId="0" borderId="34" xfId="7" applyFont="1" applyFill="1" applyBorder="1" applyAlignment="1" applyProtection="1">
      <alignment horizontal="center" vertical="center" wrapText="1"/>
      <protection locked="0"/>
    </xf>
    <xf numFmtId="0" fontId="42" fillId="0" borderId="34" xfId="0" applyFont="1" applyBorder="1" applyAlignment="1" applyProtection="1">
      <alignment horizontal="center" vertical="center" wrapText="1"/>
      <protection locked="0"/>
    </xf>
    <xf numFmtId="0" fontId="43" fillId="0" borderId="34" xfId="0" quotePrefix="1" applyFont="1" applyBorder="1" applyAlignment="1" applyProtection="1">
      <alignment horizontal="center" vertical="center" wrapText="1"/>
      <protection hidden="1"/>
    </xf>
    <xf numFmtId="0" fontId="44" fillId="0" borderId="34" xfId="0" applyFont="1" applyBorder="1" applyAlignment="1" applyProtection="1">
      <alignment horizontal="center" vertical="center" wrapText="1"/>
      <protection locked="0"/>
    </xf>
    <xf numFmtId="0" fontId="44" fillId="0" borderId="33" xfId="0" applyFont="1" applyBorder="1" applyAlignment="1" applyProtection="1">
      <alignment horizontal="center" vertical="center" wrapText="1"/>
      <protection locked="0"/>
    </xf>
    <xf numFmtId="0" fontId="42" fillId="0" borderId="33" xfId="0" applyFont="1" applyBorder="1" applyAlignment="1" applyProtection="1">
      <alignment horizontal="center" vertical="center" wrapText="1"/>
      <protection locked="0"/>
    </xf>
    <xf numFmtId="0" fontId="43" fillId="8" borderId="34" xfId="0" applyFont="1" applyFill="1" applyBorder="1" applyAlignment="1" applyProtection="1">
      <alignment horizontal="center" vertical="center" wrapText="1"/>
      <protection locked="0"/>
    </xf>
    <xf numFmtId="0" fontId="47" fillId="8" borderId="13" xfId="0" applyFont="1" applyFill="1" applyBorder="1" applyAlignment="1" applyProtection="1">
      <alignment horizontal="center" vertical="center" wrapText="1"/>
      <protection locked="0"/>
    </xf>
    <xf numFmtId="0" fontId="42" fillId="8" borderId="13" xfId="0" applyFont="1" applyFill="1" applyBorder="1" applyAlignment="1" applyProtection="1">
      <alignment horizontal="center" vertical="center" wrapText="1"/>
      <protection locked="0"/>
    </xf>
    <xf numFmtId="9" fontId="43" fillId="0" borderId="16" xfId="7" applyFont="1" applyFill="1" applyBorder="1" applyAlignment="1" applyProtection="1">
      <alignment horizontal="center" vertical="center" wrapText="1"/>
      <protection locked="0"/>
    </xf>
    <xf numFmtId="9" fontId="44" fillId="0" borderId="16" xfId="6" applyFont="1" applyBorder="1" applyAlignment="1" applyProtection="1">
      <alignment horizontal="center" vertical="center" wrapText="1"/>
      <protection locked="0"/>
    </xf>
    <xf numFmtId="0" fontId="51" fillId="0" borderId="12" xfId="0" applyFont="1" applyBorder="1" applyAlignment="1">
      <alignment horizontal="center" vertical="center" wrapText="1"/>
    </xf>
    <xf numFmtId="0" fontId="52" fillId="0" borderId="12"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9" fontId="52" fillId="0" borderId="13" xfId="0" applyNumberFormat="1" applyFont="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hidden="1"/>
    </xf>
    <xf numFmtId="0" fontId="32" fillId="0" borderId="15" xfId="0" applyFont="1" applyBorder="1" applyAlignment="1" applyProtection="1">
      <alignment horizontal="center" vertical="center" wrapText="1"/>
      <protection locked="0"/>
    </xf>
    <xf numFmtId="0" fontId="32" fillId="0" borderId="15" xfId="0" applyFont="1" applyBorder="1" applyAlignment="1" applyProtection="1">
      <alignment horizontal="center" vertical="center" wrapText="1"/>
      <protection hidden="1"/>
    </xf>
    <xf numFmtId="0" fontId="0" fillId="0" borderId="10" xfId="0" applyBorder="1" applyAlignment="1">
      <alignment vertical="center"/>
    </xf>
    <xf numFmtId="0" fontId="32" fillId="11" borderId="1" xfId="0" applyFont="1" applyFill="1" applyBorder="1" applyAlignment="1" applyProtection="1">
      <alignment horizontal="center" vertical="center" wrapText="1"/>
      <protection locked="0"/>
    </xf>
    <xf numFmtId="166" fontId="44" fillId="0" borderId="34" xfId="0" applyNumberFormat="1" applyFont="1" applyBorder="1" applyAlignment="1" applyProtection="1">
      <alignment horizontal="center" vertical="center" wrapText="1"/>
      <protection locked="0" hidden="1"/>
    </xf>
    <xf numFmtId="14" fontId="44" fillId="0" borderId="13"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14" fontId="32" fillId="0" borderId="1" xfId="0" applyNumberFormat="1" applyFont="1" applyBorder="1" applyAlignment="1" applyProtection="1">
      <alignment horizontal="center" vertical="center" wrapText="1"/>
      <protection locked="0"/>
    </xf>
    <xf numFmtId="14" fontId="32" fillId="0" borderId="11" xfId="0" applyNumberFormat="1" applyFont="1" applyBorder="1" applyAlignment="1" applyProtection="1">
      <alignment horizontal="center" vertical="center" wrapText="1"/>
      <protection locked="0"/>
    </xf>
    <xf numFmtId="14" fontId="32" fillId="0" borderId="10" xfId="0" applyNumberFormat="1" applyFont="1" applyBorder="1" applyAlignment="1" applyProtection="1">
      <alignment horizontal="center" vertical="center" wrapText="1"/>
      <protection locked="0"/>
    </xf>
    <xf numFmtId="165" fontId="32" fillId="0" borderId="11" xfId="0" applyNumberFormat="1" applyFont="1" applyBorder="1" applyAlignment="1" applyProtection="1">
      <alignment horizontal="center" vertical="center" wrapText="1"/>
      <protection hidden="1"/>
    </xf>
    <xf numFmtId="165" fontId="32" fillId="0" borderId="16" xfId="0" applyNumberFormat="1" applyFont="1" applyBorder="1" applyAlignment="1" applyProtection="1">
      <alignment horizontal="center" vertical="center" wrapText="1"/>
      <protection hidden="1"/>
    </xf>
    <xf numFmtId="0" fontId="32" fillId="0" borderId="13" xfId="0" applyFont="1" applyBorder="1" applyAlignment="1" applyProtection="1">
      <alignment horizontal="center" vertical="center" wrapText="1"/>
      <protection hidden="1"/>
    </xf>
    <xf numFmtId="166" fontId="32" fillId="0" borderId="16" xfId="0" applyNumberFormat="1" applyFont="1" applyBorder="1" applyAlignment="1" applyProtection="1">
      <alignment horizontal="center" vertical="center" wrapText="1"/>
      <protection locked="0" hidden="1"/>
    </xf>
    <xf numFmtId="14" fontId="32" fillId="0" borderId="16" xfId="0" applyNumberFormat="1" applyFont="1" applyBorder="1" applyAlignment="1" applyProtection="1">
      <alignment horizontal="center" vertical="center" wrapText="1"/>
      <protection hidden="1"/>
    </xf>
    <xf numFmtId="0" fontId="36" fillId="0" borderId="16" xfId="0" applyFont="1" applyBorder="1" applyAlignment="1" applyProtection="1">
      <alignment horizontal="center" vertical="center" wrapText="1"/>
      <protection locked="0"/>
    </xf>
    <xf numFmtId="14" fontId="0" fillId="0" borderId="16" xfId="0" applyNumberFormat="1" applyBorder="1" applyAlignment="1" applyProtection="1">
      <alignment horizontal="center" vertical="center"/>
      <protection hidden="1"/>
    </xf>
    <xf numFmtId="166" fontId="44" fillId="0" borderId="16" xfId="0" applyNumberFormat="1" applyFont="1" applyBorder="1" applyAlignment="1" applyProtection="1">
      <alignment horizontal="center" vertical="center" wrapText="1"/>
      <protection locked="0" hidden="1"/>
    </xf>
    <xf numFmtId="14" fontId="44" fillId="0" borderId="16" xfId="0" applyNumberFormat="1" applyFont="1" applyBorder="1" applyAlignment="1" applyProtection="1">
      <alignment horizontal="center" vertical="center" wrapText="1"/>
      <protection hidden="1"/>
    </xf>
    <xf numFmtId="0" fontId="32" fillId="0" borderId="10" xfId="0" quotePrefix="1" applyFont="1" applyBorder="1" applyAlignment="1" applyProtection="1">
      <alignment horizontal="center" vertical="center" wrapText="1"/>
      <protection locked="0"/>
    </xf>
    <xf numFmtId="0" fontId="32" fillId="0" borderId="11" xfId="0" quotePrefix="1" applyFont="1" applyBorder="1" applyAlignment="1" applyProtection="1">
      <alignment horizontal="center" vertical="center" wrapText="1"/>
      <protection locked="0"/>
    </xf>
    <xf numFmtId="0" fontId="32" fillId="0" borderId="11" xfId="0" quotePrefix="1" applyFont="1" applyBorder="1" applyAlignment="1" applyProtection="1">
      <alignment horizontal="center" vertical="center" wrapText="1"/>
      <protection locked="0" hidden="1"/>
    </xf>
    <xf numFmtId="9" fontId="25" fillId="0" borderId="16" xfId="7" applyFont="1" applyFill="1" applyBorder="1" applyAlignment="1" applyProtection="1">
      <alignment horizontal="center" vertical="center" wrapText="1"/>
      <protection locked="0"/>
    </xf>
    <xf numFmtId="0" fontId="0" fillId="0" borderId="10" xfId="0" applyBorder="1" applyAlignment="1" applyProtection="1">
      <alignment horizontal="center" vertical="center"/>
      <protection hidden="1"/>
    </xf>
    <xf numFmtId="165" fontId="0" fillId="0" borderId="10" xfId="0" applyNumberFormat="1" applyBorder="1" applyAlignment="1" applyProtection="1">
      <alignment horizontal="center" vertical="center"/>
      <protection hidden="1"/>
    </xf>
    <xf numFmtId="0" fontId="0" fillId="0" borderId="11" xfId="0" applyBorder="1" applyAlignment="1" applyProtection="1">
      <alignment horizontal="center" vertical="center"/>
      <protection hidden="1"/>
    </xf>
    <xf numFmtId="165" fontId="0" fillId="0" borderId="11" xfId="0" applyNumberFormat="1" applyBorder="1" applyAlignment="1" applyProtection="1">
      <alignment horizontal="center" vertical="center"/>
      <protection hidden="1"/>
    </xf>
    <xf numFmtId="165" fontId="0" fillId="0" borderId="16" xfId="0" applyNumberFormat="1" applyBorder="1" applyAlignment="1" applyProtection="1">
      <alignment horizontal="center" vertical="center"/>
      <protection hidden="1"/>
    </xf>
    <xf numFmtId="165" fontId="0" fillId="0" borderId="11" xfId="0" applyNumberFormat="1" applyBorder="1" applyAlignment="1" applyProtection="1">
      <alignment vertical="center" wrapText="1"/>
      <protection hidden="1"/>
    </xf>
    <xf numFmtId="166" fontId="44" fillId="0" borderId="1" xfId="0" applyNumberFormat="1" applyFont="1" applyBorder="1" applyAlignment="1" applyProtection="1">
      <alignment horizontal="center" vertical="center" wrapText="1"/>
      <protection locked="0" hidden="1"/>
    </xf>
    <xf numFmtId="165" fontId="0" fillId="0" borderId="10" xfId="0" applyNumberFormat="1" applyBorder="1" applyAlignment="1" applyProtection="1">
      <alignment vertical="center" wrapText="1"/>
      <protection hidden="1"/>
    </xf>
    <xf numFmtId="165" fontId="0" fillId="0" borderId="1" xfId="0" applyNumberFormat="1" applyBorder="1" applyAlignment="1" applyProtection="1">
      <alignment vertical="center" wrapText="1"/>
      <protection hidden="1"/>
    </xf>
    <xf numFmtId="165" fontId="0" fillId="0" borderId="16" xfId="0" applyNumberFormat="1" applyBorder="1" applyAlignment="1" applyProtection="1">
      <alignment vertical="center" wrapText="1"/>
      <protection hidden="1"/>
    </xf>
    <xf numFmtId="0" fontId="32" fillId="0" borderId="16" xfId="0" applyFont="1" applyBorder="1" applyAlignment="1" applyProtection="1">
      <alignment horizontal="justify" vertical="center" wrapText="1"/>
      <protection locked="0" hidden="1"/>
    </xf>
    <xf numFmtId="0" fontId="36" fillId="0" borderId="16" xfId="0" applyFont="1" applyBorder="1" applyAlignment="1" applyProtection="1">
      <alignment horizontal="justify" vertical="center" wrapText="1"/>
      <protection locked="0"/>
    </xf>
    <xf numFmtId="9" fontId="32" fillId="0" borderId="16" xfId="7" applyFont="1" applyFill="1" applyBorder="1" applyAlignment="1" applyProtection="1">
      <alignment horizontal="justify" vertical="center" wrapText="1"/>
      <protection locked="0"/>
    </xf>
    <xf numFmtId="0" fontId="50" fillId="0" borderId="59" xfId="0" applyFont="1" applyBorder="1" applyAlignment="1" applyProtection="1">
      <alignment horizontal="center" vertical="center"/>
      <protection hidden="1"/>
    </xf>
    <xf numFmtId="166" fontId="32" fillId="0" borderId="27" xfId="0" applyNumberFormat="1" applyFont="1" applyBorder="1" applyAlignment="1" applyProtection="1">
      <alignment horizontal="justify" vertical="center" wrapText="1"/>
      <protection locked="0" hidden="1"/>
    </xf>
    <xf numFmtId="14" fontId="32" fillId="0" borderId="27" xfId="0" applyNumberFormat="1" applyFont="1" applyBorder="1" applyAlignment="1" applyProtection="1">
      <alignment horizontal="center" vertical="center" wrapText="1"/>
      <protection locked="0"/>
    </xf>
    <xf numFmtId="0" fontId="60" fillId="0" borderId="1" xfId="0" applyFont="1" applyBorder="1" applyAlignment="1">
      <alignment horizontal="center" vertical="center" wrapText="1"/>
    </xf>
    <xf numFmtId="0" fontId="44" fillId="0" borderId="21" xfId="0" applyFont="1" applyBorder="1" applyAlignment="1">
      <alignment horizontal="center" vertical="center"/>
    </xf>
    <xf numFmtId="0" fontId="44" fillId="0" borderId="0" xfId="0" applyFont="1" applyAlignment="1">
      <alignment horizontal="center" vertical="center"/>
    </xf>
    <xf numFmtId="0" fontId="44" fillId="0" borderId="22" xfId="0" applyFont="1" applyBorder="1" applyAlignment="1">
      <alignment horizontal="center" vertical="center"/>
    </xf>
    <xf numFmtId="0" fontId="44" fillId="0" borderId="29" xfId="0" applyFont="1" applyBorder="1" applyAlignment="1">
      <alignment horizontal="center" vertical="center"/>
    </xf>
    <xf numFmtId="0" fontId="43" fillId="0" borderId="12" xfId="0" applyFont="1" applyBorder="1" applyAlignment="1">
      <alignment horizontal="center" vertical="center" wrapText="1"/>
    </xf>
    <xf numFmtId="0" fontId="43" fillId="0" borderId="11" xfId="0" applyFont="1" applyBorder="1" applyAlignment="1">
      <alignment horizontal="center" vertical="center" wrapText="1"/>
    </xf>
    <xf numFmtId="0" fontId="57" fillId="0" borderId="1" xfId="0" applyFont="1" applyBorder="1" applyAlignment="1" applyProtection="1">
      <alignment horizontal="center" vertical="center"/>
      <protection hidden="1"/>
    </xf>
    <xf numFmtId="9" fontId="52" fillId="0" borderId="16" xfId="7" applyFont="1" applyFill="1" applyBorder="1" applyAlignment="1" applyProtection="1">
      <alignment horizontal="center" vertical="center" wrapText="1"/>
      <protection locked="0"/>
    </xf>
    <xf numFmtId="0" fontId="52" fillId="0" borderId="16" xfId="0" applyFont="1" applyBorder="1" applyAlignment="1" applyProtection="1">
      <alignment horizontal="center" vertical="center" wrapText="1"/>
      <protection locked="0" hidden="1"/>
    </xf>
    <xf numFmtId="0" fontId="61" fillId="0" borderId="0" xfId="0" applyFont="1" applyAlignment="1" applyProtection="1">
      <alignment horizontal="left" vertical="center" wrapText="1"/>
      <protection hidden="1"/>
    </xf>
    <xf numFmtId="0" fontId="61" fillId="0" borderId="0" xfId="0" applyFont="1" applyAlignment="1" applyProtection="1">
      <alignment vertical="top" wrapText="1"/>
      <protection hidden="1"/>
    </xf>
    <xf numFmtId="0" fontId="52" fillId="0" borderId="0" xfId="0" applyFont="1" applyAlignment="1" applyProtection="1">
      <alignment horizontal="left" vertical="center" wrapText="1"/>
      <protection hidden="1"/>
    </xf>
    <xf numFmtId="0" fontId="37" fillId="0" borderId="23"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9" fontId="52" fillId="0" borderId="23" xfId="0" applyNumberFormat="1" applyFont="1" applyBorder="1" applyAlignment="1" applyProtection="1">
      <alignment horizontal="center" vertical="center" wrapText="1"/>
      <protection locked="0"/>
    </xf>
    <xf numFmtId="9" fontId="52" fillId="0" borderId="23" xfId="7" applyFont="1" applyBorder="1" applyAlignment="1" applyProtection="1">
      <alignment horizontal="center" vertical="center" wrapText="1"/>
      <protection locked="0"/>
    </xf>
    <xf numFmtId="0" fontId="53" fillId="0" borderId="23" xfId="0" applyFont="1" applyBorder="1" applyAlignment="1" applyProtection="1">
      <alignment horizontal="center" vertical="center" wrapText="1"/>
      <protection locked="0"/>
    </xf>
    <xf numFmtId="0" fontId="37" fillId="11" borderId="23" xfId="0" applyFont="1" applyFill="1" applyBorder="1" applyAlignment="1" applyProtection="1">
      <alignment horizontal="center" vertical="center" wrapText="1"/>
      <protection locked="0"/>
    </xf>
    <xf numFmtId="9" fontId="23" fillId="0" borderId="1" xfId="7" applyFont="1" applyBorder="1" applyAlignment="1" applyProtection="1">
      <alignment horizontal="center" vertical="center" wrapText="1"/>
      <protection hidden="1"/>
    </xf>
    <xf numFmtId="0" fontId="62" fillId="0" borderId="0" xfId="0" applyFont="1" applyFill="1"/>
    <xf numFmtId="0" fontId="0" fillId="0" borderId="1" xfId="0" applyFont="1" applyFill="1" applyBorder="1" applyAlignment="1">
      <alignment horizontal="center" vertical="center" wrapText="1"/>
    </xf>
    <xf numFmtId="0" fontId="0" fillId="0" borderId="0" xfId="0" applyFont="1" applyFill="1"/>
    <xf numFmtId="0" fontId="26" fillId="3" borderId="15" xfId="0" applyFont="1" applyFill="1" applyBorder="1" applyAlignment="1">
      <alignment horizontal="center" vertical="center"/>
    </xf>
    <xf numFmtId="0" fontId="36" fillId="0" borderId="60" xfId="0" applyFont="1" applyBorder="1" applyAlignment="1">
      <alignment vertical="center"/>
    </xf>
    <xf numFmtId="0" fontId="36" fillId="0" borderId="61" xfId="0" applyFont="1" applyBorder="1" applyAlignment="1">
      <alignment vertical="center"/>
    </xf>
    <xf numFmtId="14" fontId="36" fillId="0" borderId="62" xfId="0" applyNumberFormat="1" applyFont="1" applyBorder="1" applyAlignment="1">
      <alignment horizontal="right" vertical="center"/>
    </xf>
    <xf numFmtId="14" fontId="36" fillId="0" borderId="63" xfId="0" applyNumberFormat="1" applyFont="1" applyBorder="1" applyAlignment="1">
      <alignment horizontal="right" vertical="center"/>
    </xf>
    <xf numFmtId="14" fontId="36" fillId="0" borderId="64" xfId="0" applyNumberFormat="1" applyFont="1" applyBorder="1" applyAlignment="1">
      <alignment horizontal="right" vertical="center"/>
    </xf>
    <xf numFmtId="0" fontId="63" fillId="0" borderId="0" xfId="0" applyFont="1"/>
    <xf numFmtId="0" fontId="36" fillId="4" borderId="1" xfId="0" applyFont="1" applyFill="1" applyBorder="1" applyAlignment="1">
      <alignment horizontal="center" vertical="center" wrapText="1"/>
    </xf>
    <xf numFmtId="0" fontId="36" fillId="4" borderId="1" xfId="0" applyFont="1" applyFill="1" applyBorder="1" applyAlignment="1">
      <alignment horizontal="right" vertical="center" wrapText="1"/>
    </xf>
    <xf numFmtId="0" fontId="36" fillId="0" borderId="1" xfId="0" applyFont="1" applyFill="1" applyBorder="1" applyAlignment="1">
      <alignment horizontal="right" vertical="center" wrapText="1"/>
    </xf>
    <xf numFmtId="0" fontId="36" fillId="0" borderId="35" xfId="0" applyFont="1" applyFill="1" applyBorder="1" applyAlignment="1">
      <alignment horizontal="center" vertical="center" wrapText="1"/>
    </xf>
    <xf numFmtId="0" fontId="43" fillId="0" borderId="16" xfId="0" applyFont="1" applyBorder="1" applyAlignment="1" applyProtection="1">
      <alignment horizontal="left" vertical="center" wrapText="1"/>
      <protection locked="0"/>
    </xf>
    <xf numFmtId="0" fontId="44" fillId="0" borderId="16" xfId="0" applyFont="1" applyBorder="1" applyAlignment="1" applyProtection="1">
      <alignment horizontal="left" vertical="center" wrapText="1"/>
      <protection locked="0"/>
    </xf>
    <xf numFmtId="0" fontId="30" fillId="3" borderId="1" xfId="0" applyFont="1" applyFill="1" applyBorder="1" applyAlignment="1" applyProtection="1">
      <alignment vertical="center" wrapText="1"/>
      <protection hidden="1"/>
    </xf>
    <xf numFmtId="0" fontId="44" fillId="0" borderId="16" xfId="0" applyFont="1" applyBorder="1" applyAlignment="1" applyProtection="1">
      <alignment vertical="center" wrapText="1"/>
      <protection locked="0"/>
    </xf>
    <xf numFmtId="0" fontId="0" fillId="0" borderId="0" xfId="0" applyAlignment="1" applyProtection="1">
      <alignment vertical="center" wrapText="1"/>
      <protection hidden="1"/>
    </xf>
    <xf numFmtId="0" fontId="30" fillId="3" borderId="1" xfId="0" applyFont="1" applyFill="1" applyBorder="1" applyAlignment="1" applyProtection="1">
      <alignment horizontal="left" vertical="center" wrapText="1"/>
      <protection hidden="1"/>
    </xf>
    <xf numFmtId="0" fontId="30" fillId="3" borderId="15" xfId="0" applyFont="1" applyFill="1" applyBorder="1" applyAlignment="1" applyProtection="1">
      <alignment horizontal="left" vertical="center" wrapText="1"/>
      <protection hidden="1"/>
    </xf>
    <xf numFmtId="0" fontId="43" fillId="0" borderId="17" xfId="0" applyFont="1" applyBorder="1" applyAlignment="1">
      <alignment horizontal="left" vertical="center" wrapText="1"/>
    </xf>
    <xf numFmtId="0" fontId="43" fillId="0" borderId="17" xfId="0" applyFont="1" applyBorder="1" applyAlignment="1" applyProtection="1">
      <alignment horizontal="left" vertical="center" wrapText="1"/>
      <protection locked="0"/>
    </xf>
    <xf numFmtId="0" fontId="44" fillId="0" borderId="2" xfId="0" applyFont="1" applyBorder="1" applyAlignment="1" applyProtection="1">
      <alignment horizontal="left" vertical="center" wrapText="1"/>
      <protection locked="0"/>
    </xf>
    <xf numFmtId="0" fontId="44" fillId="0" borderId="17"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45" fillId="0" borderId="10" xfId="0" applyFont="1" applyBorder="1" applyAlignment="1">
      <alignment horizontal="left" vertical="center" wrapText="1"/>
    </xf>
    <xf numFmtId="0" fontId="52" fillId="0" borderId="16" xfId="0" applyFont="1" applyBorder="1" applyAlignment="1" applyProtection="1">
      <alignment horizontal="left" vertical="center" wrapText="1"/>
      <protection locked="0"/>
    </xf>
    <xf numFmtId="0" fontId="52" fillId="0" borderId="23" xfId="0" applyFont="1" applyBorder="1" applyAlignment="1" applyProtection="1">
      <alignment horizontal="left" vertical="center" wrapText="1"/>
      <protection locked="0"/>
    </xf>
    <xf numFmtId="0" fontId="44" fillId="8" borderId="11" xfId="0" applyFont="1" applyFill="1" applyBorder="1" applyAlignment="1" applyProtection="1">
      <alignment horizontal="left" vertical="center" wrapText="1"/>
      <protection locked="0"/>
    </xf>
    <xf numFmtId="0" fontId="44" fillId="8" borderId="16" xfId="0" applyFont="1" applyFill="1" applyBorder="1" applyAlignment="1" applyProtection="1">
      <alignment horizontal="left" vertical="center" wrapText="1"/>
      <protection locked="0"/>
    </xf>
    <xf numFmtId="0" fontId="44" fillId="4" borderId="16" xfId="0" applyFont="1" applyFill="1" applyBorder="1" applyAlignment="1" applyProtection="1">
      <alignment horizontal="left" vertical="center" wrapText="1"/>
      <protection locked="0"/>
    </xf>
    <xf numFmtId="0" fontId="44" fillId="0" borderId="53" xfId="0" applyFont="1" applyBorder="1" applyAlignment="1" applyProtection="1">
      <alignment horizontal="left" vertical="center" wrapText="1"/>
      <protection locked="0"/>
    </xf>
    <xf numFmtId="0" fontId="0" fillId="0" borderId="0" xfId="0" applyAlignment="1">
      <alignment horizontal="left"/>
    </xf>
    <xf numFmtId="0" fontId="52" fillId="0" borderId="24" xfId="0" applyFont="1" applyBorder="1" applyAlignment="1" applyProtection="1">
      <alignment horizontal="left" vertical="center" wrapText="1"/>
      <protection locked="0"/>
    </xf>
    <xf numFmtId="0" fontId="52" fillId="0" borderId="20" xfId="0" applyFont="1" applyBorder="1" applyAlignment="1" applyProtection="1">
      <alignment horizontal="left" vertical="center" wrapText="1"/>
      <protection locked="0"/>
    </xf>
    <xf numFmtId="0" fontId="52" fillId="0" borderId="61" xfId="0" applyFont="1" applyBorder="1" applyAlignment="1" applyProtection="1">
      <alignment horizontal="center" vertical="center" wrapText="1"/>
      <protection locked="0"/>
    </xf>
    <xf numFmtId="0" fontId="52" fillId="0" borderId="36" xfId="0" applyFont="1" applyBorder="1" applyAlignment="1" applyProtection="1">
      <alignment horizontal="left" vertical="center" wrapText="1"/>
      <protection locked="0"/>
    </xf>
    <xf numFmtId="0" fontId="0" fillId="0" borderId="20" xfId="0"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52" fillId="0" borderId="61"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165" fontId="36" fillId="0" borderId="61" xfId="0" applyNumberFormat="1" applyFont="1" applyBorder="1" applyAlignment="1" applyProtection="1">
      <alignment horizontal="center" vertical="center" wrapText="1"/>
      <protection hidden="1"/>
    </xf>
    <xf numFmtId="9" fontId="23" fillId="0" borderId="24" xfId="7" applyFont="1" applyBorder="1" applyAlignment="1" applyProtection="1">
      <alignment horizontal="center" vertical="center" wrapText="1"/>
      <protection hidden="1"/>
    </xf>
    <xf numFmtId="0" fontId="42" fillId="11" borderId="61" xfId="0" applyFont="1" applyFill="1" applyBorder="1" applyAlignment="1" applyProtection="1">
      <alignment horizontal="center" vertical="center" wrapText="1"/>
      <protection locked="0"/>
    </xf>
    <xf numFmtId="0" fontId="37" fillId="11" borderId="61" xfId="0" applyFont="1" applyFill="1" applyBorder="1" applyAlignment="1" applyProtection="1">
      <alignment horizontal="center" vertical="center" wrapText="1"/>
      <protection locked="0"/>
    </xf>
    <xf numFmtId="0" fontId="0" fillId="0" borderId="61" xfId="0" applyBorder="1" applyAlignment="1" applyProtection="1">
      <alignment horizontal="center" vertical="center" wrapText="1"/>
      <protection hidden="1"/>
    </xf>
    <xf numFmtId="0" fontId="16" fillId="0" borderId="61" xfId="0" applyFont="1" applyBorder="1" applyAlignment="1" applyProtection="1">
      <alignment horizontal="left" vertical="center" wrapText="1"/>
      <protection locked="0"/>
    </xf>
    <xf numFmtId="0" fontId="45" fillId="0" borderId="12" xfId="0" applyFont="1" applyBorder="1" applyAlignment="1">
      <alignment horizontal="left" vertical="center" wrapText="1"/>
    </xf>
    <xf numFmtId="0" fontId="44" fillId="0" borderId="16" xfId="0" applyFont="1" applyBorder="1" applyAlignment="1" applyProtection="1">
      <alignment horizontal="left" vertical="center" wrapText="1"/>
      <protection hidden="1"/>
    </xf>
    <xf numFmtId="0" fontId="36" fillId="0" borderId="11"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hidden="1"/>
    </xf>
    <xf numFmtId="0" fontId="36" fillId="0" borderId="11" xfId="0" applyFont="1" applyBorder="1" applyAlignment="1" applyProtection="1">
      <alignment vertical="center" wrapText="1"/>
      <protection hidden="1"/>
    </xf>
    <xf numFmtId="0" fontId="36" fillId="0" borderId="13" xfId="0" applyFont="1" applyBorder="1" applyAlignment="1" applyProtection="1">
      <alignment horizontal="left" vertical="center" wrapText="1"/>
      <protection hidden="1"/>
    </xf>
    <xf numFmtId="0" fontId="7" fillId="0" borderId="10" xfId="0" applyFont="1" applyFill="1" applyBorder="1" applyAlignment="1" applyProtection="1">
      <alignment horizontal="center" vertical="center" wrapText="1"/>
      <protection locked="0"/>
    </xf>
    <xf numFmtId="0" fontId="44" fillId="0" borderId="21" xfId="0" applyFont="1" applyBorder="1" applyAlignment="1">
      <alignment horizontal="left" vertical="center" wrapText="1"/>
    </xf>
    <xf numFmtId="9" fontId="43" fillId="0" borderId="11" xfId="6" applyFont="1" applyBorder="1" applyAlignment="1" applyProtection="1">
      <alignment horizontal="center" vertical="center" wrapText="1"/>
      <protection locked="0"/>
    </xf>
    <xf numFmtId="0" fontId="24" fillId="0" borderId="3" xfId="1" applyFill="1" applyBorder="1" applyAlignment="1">
      <alignment horizontal="center" vertical="center" wrapText="1"/>
    </xf>
    <xf numFmtId="0" fontId="0" fillId="0" borderId="4" xfId="0" applyBorder="1" applyAlignment="1">
      <alignment horizontal="center" vertical="center" wrapText="1"/>
    </xf>
    <xf numFmtId="0" fontId="24" fillId="0" borderId="5" xfId="1" applyFill="1" applyBorder="1" applyAlignment="1">
      <alignment horizontal="center" vertical="center" wrapText="1"/>
    </xf>
    <xf numFmtId="0" fontId="29" fillId="6" borderId="1" xfId="0" applyFont="1" applyFill="1" applyBorder="1" applyAlignment="1" applyProtection="1">
      <alignment horizontal="center" vertical="center" wrapText="1"/>
      <protection hidden="1"/>
    </xf>
    <xf numFmtId="0" fontId="30" fillId="3" borderId="1" xfId="0" applyFont="1" applyFill="1" applyBorder="1" applyAlignment="1" applyProtection="1">
      <alignment horizontal="center" vertical="center" wrapText="1"/>
      <protection hidden="1"/>
    </xf>
    <xf numFmtId="0" fontId="44" fillId="0" borderId="10"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1" xfId="0" applyFont="1" applyBorder="1" applyAlignment="1" applyProtection="1">
      <alignment horizontal="center" vertical="center" wrapText="1"/>
      <protection locked="0"/>
    </xf>
    <xf numFmtId="9" fontId="44" fillId="0" borderId="10" xfId="7" applyFont="1" applyBorder="1" applyAlignment="1" applyProtection="1">
      <alignment horizontal="center" vertical="center" wrapText="1"/>
      <protection locked="0"/>
    </xf>
    <xf numFmtId="9" fontId="44" fillId="0" borderId="1" xfId="7" applyFont="1" applyBorder="1" applyAlignment="1" applyProtection="1">
      <alignment horizontal="center" vertical="center" wrapText="1"/>
      <protection locked="0"/>
    </xf>
    <xf numFmtId="9" fontId="44" fillId="0" borderId="11" xfId="7" applyFont="1" applyBorder="1" applyAlignment="1" applyProtection="1">
      <alignment horizontal="center" vertical="center" wrapText="1"/>
      <protection locked="0"/>
    </xf>
    <xf numFmtId="0" fontId="42" fillId="11" borderId="23" xfId="0" applyFont="1" applyFill="1" applyBorder="1" applyAlignment="1" applyProtection="1">
      <alignment horizontal="center" vertical="center" wrapText="1"/>
      <protection locked="0"/>
    </xf>
    <xf numFmtId="0" fontId="42" fillId="11" borderId="13" xfId="0" applyFont="1" applyFill="1" applyBorder="1" applyAlignment="1" applyProtection="1">
      <alignment horizontal="center" vertical="center" wrapText="1"/>
      <protection locked="0"/>
    </xf>
    <xf numFmtId="9" fontId="42" fillId="0" borderId="11" xfId="7" applyFont="1" applyFill="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4" fillId="0" borderId="10"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4" fillId="0" borderId="10" xfId="0" applyFont="1" applyBorder="1" applyAlignment="1" applyProtection="1">
      <alignment horizontal="center" vertical="center" wrapText="1"/>
      <protection locked="0" hidden="1"/>
    </xf>
    <xf numFmtId="0" fontId="44" fillId="0" borderId="11" xfId="0" applyFont="1" applyBorder="1" applyAlignment="1" applyProtection="1">
      <alignment horizontal="center" vertical="center" wrapText="1"/>
      <protection locked="0" hidden="1"/>
    </xf>
    <xf numFmtId="0" fontId="43" fillId="0" borderId="10" xfId="0" applyFont="1" applyBorder="1" applyAlignment="1" applyProtection="1">
      <alignment horizontal="center" vertical="center" wrapText="1"/>
      <protection locked="0"/>
    </xf>
    <xf numFmtId="0" fontId="43" fillId="0" borderId="11" xfId="0" applyFont="1" applyBorder="1" applyAlignment="1" applyProtection="1">
      <alignment horizontal="center" vertical="center" wrapText="1"/>
      <protection locked="0"/>
    </xf>
    <xf numFmtId="0" fontId="42" fillId="11"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hidden="1"/>
    </xf>
    <xf numFmtId="0" fontId="42" fillId="8" borderId="11" xfId="0" applyFont="1" applyFill="1" applyBorder="1" applyAlignment="1" applyProtection="1">
      <alignment horizontal="center" vertical="center" wrapText="1"/>
      <protection locked="0"/>
    </xf>
    <xf numFmtId="9" fontId="44" fillId="0" borderId="23" xfId="7" applyFont="1" applyFill="1" applyBorder="1" applyAlignment="1" applyProtection="1">
      <alignment horizontal="center" vertical="center" wrapText="1"/>
      <protection locked="0"/>
    </xf>
    <xf numFmtId="9" fontId="44" fillId="0" borderId="13" xfId="7" applyFont="1" applyFill="1" applyBorder="1" applyAlignment="1" applyProtection="1">
      <alignment horizontal="center" vertical="center" wrapText="1"/>
      <protection locked="0"/>
    </xf>
    <xf numFmtId="0" fontId="42" fillId="0" borderId="11" xfId="0" applyFont="1" applyBorder="1" applyAlignment="1" applyProtection="1">
      <alignment horizontal="center" vertical="center"/>
      <protection hidden="1"/>
    </xf>
    <xf numFmtId="0" fontId="44" fillId="0" borderId="10" xfId="0" applyFont="1" applyBorder="1" applyAlignment="1" applyProtection="1">
      <alignment horizontal="center" vertical="center" wrapText="1"/>
      <protection hidden="1"/>
    </xf>
    <xf numFmtId="0" fontId="44" fillId="0" borderId="11" xfId="0" applyFont="1" applyBorder="1" applyAlignment="1" applyProtection="1">
      <alignment horizontal="center" vertical="center" wrapText="1"/>
      <protection hidden="1"/>
    </xf>
    <xf numFmtId="0" fontId="34" fillId="9" borderId="1" xfId="0" applyFont="1" applyFill="1" applyBorder="1" applyAlignment="1">
      <alignment horizontal="center" vertical="center" wrapText="1"/>
    </xf>
    <xf numFmtId="0" fontId="44" fillId="0" borderId="1" xfId="0" applyFont="1" applyBorder="1" applyAlignment="1" applyProtection="1">
      <alignment horizontal="center" vertical="center" wrapText="1"/>
      <protection hidden="1"/>
    </xf>
    <xf numFmtId="14" fontId="44" fillId="0" borderId="1" xfId="0" applyNumberFormat="1" applyFont="1" applyBorder="1" applyAlignment="1" applyProtection="1">
      <alignment horizontal="center" vertical="center" wrapText="1"/>
      <protection locked="0" hidden="1"/>
    </xf>
    <xf numFmtId="14" fontId="44" fillId="0" borderId="11" xfId="0" applyNumberFormat="1" applyFont="1" applyBorder="1" applyAlignment="1" applyProtection="1">
      <alignment horizontal="center" vertical="center" wrapText="1"/>
      <protection locked="0" hidden="1"/>
    </xf>
    <xf numFmtId="9" fontId="44" fillId="8" borderId="11" xfId="7" applyFont="1" applyFill="1" applyBorder="1" applyAlignment="1" applyProtection="1">
      <alignment horizontal="center" vertical="center" wrapText="1"/>
      <protection locked="0"/>
    </xf>
    <xf numFmtId="9" fontId="42" fillId="8" borderId="11" xfId="7" applyFont="1" applyFill="1" applyBorder="1" applyAlignment="1" applyProtection="1">
      <alignment horizontal="center" vertical="center" wrapText="1"/>
      <protection locked="0"/>
    </xf>
    <xf numFmtId="9" fontId="44" fillId="0" borderId="10" xfId="7" applyFont="1" applyFill="1" applyBorder="1" applyAlignment="1" applyProtection="1">
      <alignment horizontal="center" vertical="center" wrapText="1"/>
      <protection hidden="1"/>
    </xf>
    <xf numFmtId="9" fontId="44" fillId="0" borderId="11" xfId="7" applyFont="1" applyFill="1" applyBorder="1" applyAlignment="1" applyProtection="1">
      <alignment horizontal="center" vertical="center" wrapText="1"/>
      <protection hidden="1"/>
    </xf>
    <xf numFmtId="9" fontId="44" fillId="0" borderId="1" xfId="7" applyFont="1" applyFill="1" applyBorder="1" applyAlignment="1" applyProtection="1">
      <alignment horizontal="center" vertical="center" wrapText="1"/>
      <protection locked="0"/>
    </xf>
    <xf numFmtId="9" fontId="44" fillId="0" borderId="11" xfId="7" applyFont="1" applyFill="1" applyBorder="1" applyAlignment="1" applyProtection="1">
      <alignment horizontal="center" vertical="center" wrapText="1"/>
      <protection locked="0"/>
    </xf>
    <xf numFmtId="0" fontId="52" fillId="0" borderId="1" xfId="0" applyFont="1" applyBorder="1" applyAlignment="1" applyProtection="1">
      <alignment horizontal="center" vertical="center" wrapText="1"/>
      <protection locked="0"/>
    </xf>
    <xf numFmtId="0" fontId="52" fillId="0" borderId="11" xfId="0" applyFont="1" applyBorder="1" applyAlignment="1" applyProtection="1">
      <alignment horizontal="center" vertical="center" wrapText="1"/>
      <protection locked="0"/>
    </xf>
    <xf numFmtId="0" fontId="52" fillId="0" borderId="10"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52" fillId="0" borderId="1" xfId="0" applyFont="1" applyBorder="1" applyAlignment="1" applyProtection="1">
      <alignment horizontal="left" vertical="center" wrapText="1"/>
      <protection locked="0"/>
    </xf>
    <xf numFmtId="0" fontId="42" fillId="10" borderId="23" xfId="0" applyFont="1" applyFill="1" applyBorder="1" applyAlignment="1" applyProtection="1">
      <alignment horizontal="center" vertical="center" wrapText="1"/>
      <protection locked="0"/>
    </xf>
    <xf numFmtId="9" fontId="44" fillId="0" borderId="1" xfId="0" applyNumberFormat="1" applyFont="1" applyBorder="1" applyAlignment="1" applyProtection="1">
      <alignment horizontal="center" vertical="center" wrapText="1"/>
      <protection locked="0"/>
    </xf>
    <xf numFmtId="9" fontId="44" fillId="0" borderId="11" xfId="0" applyNumberFormat="1"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45" fillId="0" borderId="1" xfId="0" applyFont="1" applyBorder="1" applyAlignment="1">
      <alignment horizontal="left" vertical="center" wrapText="1"/>
    </xf>
    <xf numFmtId="0" fontId="45" fillId="0" borderId="11" xfId="0" applyFont="1" applyBorder="1" applyAlignment="1">
      <alignment horizontal="left" vertical="center" wrapText="1"/>
    </xf>
    <xf numFmtId="0" fontId="45" fillId="0" borderId="1" xfId="0" applyFont="1" applyBorder="1" applyAlignment="1">
      <alignment horizontal="center" vertical="center" wrapText="1"/>
    </xf>
    <xf numFmtId="0" fontId="45" fillId="0" borderId="11" xfId="0" applyFont="1" applyBorder="1" applyAlignment="1">
      <alignment horizontal="center" vertical="center" wrapText="1"/>
    </xf>
    <xf numFmtId="9" fontId="44" fillId="0" borderId="11" xfId="6" applyFont="1" applyBorder="1" applyAlignment="1" applyProtection="1">
      <alignment horizontal="center" vertical="center" wrapText="1"/>
      <protection locked="0"/>
    </xf>
    <xf numFmtId="0" fontId="43" fillId="0" borderId="18" xfId="0" applyFont="1" applyBorder="1" applyAlignment="1" applyProtection="1">
      <alignment horizontal="center" vertical="center" wrapText="1"/>
      <protection locked="0"/>
    </xf>
    <xf numFmtId="0" fontId="43" fillId="0" borderId="19" xfId="0" applyFont="1" applyBorder="1" applyAlignment="1" applyProtection="1">
      <alignment horizontal="center" vertical="center" wrapText="1"/>
      <protection locked="0"/>
    </xf>
    <xf numFmtId="9" fontId="44" fillId="0" borderId="12" xfId="0" applyNumberFormat="1" applyFont="1" applyBorder="1" applyAlignment="1" applyProtection="1">
      <alignment horizontal="center" vertical="center" wrapText="1"/>
      <protection locked="0"/>
    </xf>
    <xf numFmtId="9" fontId="44" fillId="0" borderId="10" xfId="0" applyNumberFormat="1" applyFont="1" applyBorder="1" applyAlignment="1" applyProtection="1">
      <alignment horizontal="center" vertical="center" wrapText="1"/>
      <protection locked="0"/>
    </xf>
    <xf numFmtId="0" fontId="29" fillId="6" borderId="15" xfId="0" applyFont="1" applyFill="1" applyBorder="1" applyAlignment="1" applyProtection="1">
      <alignment horizontal="center" vertical="center" wrapText="1"/>
      <protection hidden="1"/>
    </xf>
    <xf numFmtId="0" fontId="30" fillId="3" borderId="15" xfId="0" applyFont="1" applyFill="1" applyBorder="1" applyAlignment="1" applyProtection="1">
      <alignment horizontal="center" vertical="center" wrapText="1"/>
      <protection hidden="1"/>
    </xf>
    <xf numFmtId="9" fontId="32" fillId="0" borderId="1" xfId="0" applyNumberFormat="1" applyFont="1" applyBorder="1" applyAlignment="1" applyProtection="1">
      <alignment horizontal="center" vertical="center" wrapText="1"/>
      <protection locked="0"/>
    </xf>
    <xf numFmtId="9" fontId="32" fillId="0" borderId="1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hidden="1"/>
    </xf>
    <xf numFmtId="0" fontId="32" fillId="0" borderId="11" xfId="0" applyFont="1" applyBorder="1" applyAlignment="1" applyProtection="1">
      <alignment horizontal="center" vertical="center" wrapText="1"/>
      <protection locked="0" hidden="1"/>
    </xf>
    <xf numFmtId="9" fontId="32" fillId="0" borderId="10" xfId="0" applyNumberFormat="1"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0"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 xfId="0" applyFont="1" applyBorder="1" applyAlignment="1" applyProtection="1">
      <alignment horizontal="center" vertical="center" wrapText="1"/>
      <protection locked="0" hidden="1"/>
    </xf>
    <xf numFmtId="9" fontId="32" fillId="0" borderId="12" xfId="0" applyNumberFormat="1"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9" fontId="32" fillId="0" borderId="13" xfId="0" applyNumberFormat="1" applyFont="1" applyBorder="1" applyAlignment="1" applyProtection="1">
      <alignment horizontal="center" vertical="center" wrapText="1"/>
      <protection locked="0"/>
    </xf>
    <xf numFmtId="9" fontId="32" fillId="0" borderId="2" xfId="0" applyNumberFormat="1" applyFont="1" applyBorder="1" applyAlignment="1" applyProtection="1">
      <alignment horizontal="center" vertical="center" wrapText="1"/>
      <protection locked="0"/>
    </xf>
    <xf numFmtId="0" fontId="49" fillId="0" borderId="13" xfId="0" applyFont="1" applyBorder="1" applyAlignment="1" applyProtection="1">
      <alignment horizontal="center" vertical="center" wrapText="1"/>
      <protection locked="0"/>
    </xf>
    <xf numFmtId="9" fontId="32" fillId="0" borderId="13" xfId="7" applyFont="1" applyFill="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9" fontId="44" fillId="0" borderId="13" xfId="7" applyFont="1" applyBorder="1" applyAlignment="1" applyProtection="1">
      <alignment horizontal="center" vertical="center" wrapText="1"/>
      <protection locked="0"/>
    </xf>
    <xf numFmtId="9" fontId="44" fillId="0" borderId="10" xfId="7" applyFont="1" applyFill="1" applyBorder="1" applyAlignment="1" applyProtection="1">
      <alignment horizontal="center" vertical="center" wrapText="1"/>
      <protection locked="0"/>
    </xf>
    <xf numFmtId="0" fontId="32" fillId="4" borderId="10" xfId="0"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2" fillId="8" borderId="1" xfId="0" applyFont="1" applyFill="1" applyBorder="1" applyAlignment="1" applyProtection="1">
      <alignment horizontal="center" vertical="center" wrapText="1"/>
      <protection locked="0"/>
    </xf>
    <xf numFmtId="0" fontId="32" fillId="8" borderId="11" xfId="0" applyFont="1" applyFill="1" applyBorder="1" applyAlignment="1" applyProtection="1">
      <alignment horizontal="center" vertical="center" wrapText="1"/>
      <protection locked="0"/>
    </xf>
    <xf numFmtId="0" fontId="32" fillId="8" borderId="1" xfId="0" applyFont="1" applyFill="1" applyBorder="1" applyAlignment="1" applyProtection="1">
      <alignment horizontal="center" vertical="center" wrapText="1"/>
      <protection locked="0" hidden="1"/>
    </xf>
    <xf numFmtId="0" fontId="0" fillId="0" borderId="10" xfId="0" applyBorder="1" applyAlignment="1">
      <alignment horizontal="center" vertical="center"/>
    </xf>
    <xf numFmtId="0" fontId="0" fillId="0" borderId="11" xfId="0" applyBorder="1" applyAlignment="1">
      <alignment horizontal="center" vertical="center"/>
    </xf>
    <xf numFmtId="0" fontId="33" fillId="0" borderId="10"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10"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11" xfId="0" applyFont="1" applyBorder="1" applyAlignment="1" applyProtection="1">
      <alignment horizontal="left"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36" fillId="0" borderId="10" xfId="0" applyFont="1" applyBorder="1" applyAlignment="1">
      <alignment horizontal="left" vertical="center" wrapText="1"/>
    </xf>
    <xf numFmtId="0" fontId="42" fillId="0" borderId="2" xfId="0" applyFont="1" applyBorder="1" applyAlignment="1" applyProtection="1">
      <alignment horizontal="center" vertical="center" wrapText="1"/>
      <protection locked="0"/>
    </xf>
    <xf numFmtId="9" fontId="44" fillId="0" borderId="2" xfId="0" applyNumberFormat="1" applyFont="1" applyBorder="1" applyAlignment="1" applyProtection="1">
      <alignment horizontal="center" vertical="center" wrapText="1"/>
      <protection locked="0"/>
    </xf>
    <xf numFmtId="9" fontId="44" fillId="0" borderId="13" xfId="0" applyNumberFormat="1"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hidden="1"/>
    </xf>
    <xf numFmtId="9" fontId="44" fillId="0" borderId="12" xfId="7" applyFont="1" applyBorder="1" applyAlignment="1" applyProtection="1">
      <alignment horizontal="center" vertical="center" wrapText="1"/>
      <protection locked="0"/>
    </xf>
    <xf numFmtId="0" fontId="42" fillId="0" borderId="23"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hidden="1"/>
    </xf>
    <xf numFmtId="9" fontId="44" fillId="0" borderId="10" xfId="7" applyFont="1" applyBorder="1" applyAlignment="1" applyProtection="1">
      <alignment horizontal="center" vertical="center" wrapText="1"/>
      <protection hidden="1"/>
    </xf>
    <xf numFmtId="9" fontId="44" fillId="0" borderId="11" xfId="7" applyFont="1" applyBorder="1" applyAlignment="1" applyProtection="1">
      <alignment horizontal="center" vertical="center" wrapText="1"/>
      <protection hidden="1"/>
    </xf>
    <xf numFmtId="0" fontId="44" fillId="0" borderId="13" xfId="0" applyFont="1" applyBorder="1" applyAlignment="1" applyProtection="1">
      <alignment horizontal="center" vertical="center" wrapText="1"/>
      <protection hidden="1"/>
    </xf>
    <xf numFmtId="9" fontId="43" fillId="0" borderId="13" xfId="7" applyFont="1" applyFill="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hidden="1"/>
    </xf>
    <xf numFmtId="0" fontId="44" fillId="0" borderId="12" xfId="0" applyFont="1" applyBorder="1" applyAlignment="1" applyProtection="1">
      <alignment horizontal="center" vertical="center" wrapText="1"/>
      <protection locked="0"/>
    </xf>
    <xf numFmtId="0" fontId="43" fillId="0" borderId="10" xfId="0" applyFont="1" applyBorder="1" applyAlignment="1" applyProtection="1">
      <alignment horizontal="center" vertical="center" wrapText="1"/>
      <protection hidden="1"/>
    </xf>
    <xf numFmtId="0" fontId="43" fillId="0" borderId="11" xfId="0" applyFont="1" applyBorder="1" applyAlignment="1" applyProtection="1">
      <alignment horizontal="center" vertical="center" wrapText="1"/>
      <protection hidden="1"/>
    </xf>
    <xf numFmtId="0" fontId="43" fillId="0" borderId="13" xfId="0" applyFont="1" applyBorder="1" applyAlignment="1" applyProtection="1">
      <alignment horizontal="center" vertical="center" wrapText="1"/>
      <protection locked="0"/>
    </xf>
    <xf numFmtId="0" fontId="44" fillId="0" borderId="13" xfId="0" applyFont="1" applyBorder="1" applyAlignment="1">
      <alignment horizontal="center" vertical="center"/>
    </xf>
    <xf numFmtId="0" fontId="43" fillId="4" borderId="13" xfId="0" applyFont="1" applyFill="1" applyBorder="1" applyAlignment="1" applyProtection="1">
      <alignment horizontal="center" vertical="center" wrapText="1"/>
      <protection locked="0"/>
    </xf>
    <xf numFmtId="0" fontId="44" fillId="0" borderId="13" xfId="0" quotePrefix="1" applyFont="1" applyBorder="1" applyAlignment="1" applyProtection="1">
      <alignment horizontal="center" vertical="center" wrapText="1"/>
      <protection hidden="1"/>
    </xf>
    <xf numFmtId="0" fontId="43" fillId="0" borderId="1" xfId="0" applyFont="1" applyBorder="1" applyAlignment="1" applyProtection="1">
      <alignment horizontal="center" vertical="center" wrapText="1"/>
      <protection locked="0"/>
    </xf>
    <xf numFmtId="0" fontId="44" fillId="4" borderId="11" xfId="0" applyFont="1" applyFill="1" applyBorder="1" applyAlignment="1" applyProtection="1">
      <alignment horizontal="center" vertical="center" wrapText="1"/>
      <protection locked="0"/>
    </xf>
    <xf numFmtId="0" fontId="43" fillId="4" borderId="10" xfId="0" applyFont="1" applyFill="1" applyBorder="1" applyAlignment="1" applyProtection="1">
      <alignment horizontal="center" vertical="center" wrapText="1"/>
      <protection locked="0" hidden="1"/>
    </xf>
    <xf numFmtId="0" fontId="43" fillId="4" borderId="11" xfId="0" applyFont="1" applyFill="1" applyBorder="1" applyAlignment="1" applyProtection="1">
      <alignment horizontal="center" vertical="center" wrapText="1"/>
      <protection locked="0" hidden="1"/>
    </xf>
    <xf numFmtId="0" fontId="43" fillId="4" borderId="10" xfId="0" applyFont="1" applyFill="1" applyBorder="1" applyAlignment="1" applyProtection="1">
      <alignment horizontal="center" vertical="center" wrapText="1"/>
      <protection locked="0"/>
    </xf>
    <xf numFmtId="0" fontId="43" fillId="4" borderId="11" xfId="0" applyFont="1" applyFill="1" applyBorder="1" applyAlignment="1" applyProtection="1">
      <alignment horizontal="center" vertical="center" wrapText="1"/>
      <protection locked="0"/>
    </xf>
    <xf numFmtId="0" fontId="43" fillId="0" borderId="10" xfId="0" applyFont="1" applyBorder="1" applyAlignment="1" applyProtection="1">
      <alignment horizontal="center" vertical="center" wrapText="1"/>
      <protection locked="0" hidden="1"/>
    </xf>
    <xf numFmtId="0" fontId="10" fillId="0" borderId="10"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6" xfId="0" applyFont="1" applyBorder="1" applyAlignment="1" applyProtection="1">
      <alignment horizontal="center" vertical="center" wrapText="1"/>
      <protection locked="0"/>
    </xf>
    <xf numFmtId="0" fontId="10" fillId="0" borderId="13" xfId="0" applyFont="1" applyBorder="1" applyAlignment="1" applyProtection="1">
      <alignment horizontal="left" vertical="center" wrapText="1"/>
      <protection locked="0"/>
    </xf>
    <xf numFmtId="0" fontId="12" fillId="0" borderId="16"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4" borderId="13" xfId="0" applyFont="1" applyFill="1" applyBorder="1" applyAlignment="1" applyProtection="1">
      <alignment horizontal="center" vertical="center" wrapText="1"/>
      <protection locked="0"/>
    </xf>
    <xf numFmtId="0" fontId="10" fillId="0" borderId="16" xfId="0" applyFont="1" applyBorder="1" applyAlignment="1" applyProtection="1">
      <alignment horizontal="left" vertical="center" wrapText="1"/>
      <protection locked="0"/>
    </xf>
    <xf numFmtId="0" fontId="42" fillId="11" borderId="23" xfId="0" applyFont="1" applyFill="1" applyBorder="1" applyAlignment="1" applyProtection="1">
      <alignment horizontal="center" vertical="center" wrapText="1"/>
      <protection locked="0"/>
    </xf>
    <xf numFmtId="9" fontId="44" fillId="0" borderId="1" xfId="7" applyFont="1" applyFill="1" applyBorder="1" applyAlignment="1" applyProtection="1">
      <alignment horizontal="center" vertical="center" wrapText="1"/>
      <protection locked="0"/>
    </xf>
    <xf numFmtId="9" fontId="44" fillId="0" borderId="11" xfId="7" applyFont="1" applyFill="1" applyBorder="1" applyAlignment="1" applyProtection="1">
      <alignment horizontal="center" vertical="center" wrapText="1"/>
      <protection locked="0"/>
    </xf>
    <xf numFmtId="0" fontId="42" fillId="10" borderId="23" xfId="0" applyFont="1" applyFill="1" applyBorder="1" applyAlignment="1" applyProtection="1">
      <alignment horizontal="center" vertical="center" wrapText="1"/>
      <protection locked="0"/>
    </xf>
    <xf numFmtId="9" fontId="44" fillId="0" borderId="1" xfId="0" applyNumberFormat="1" applyFont="1" applyBorder="1" applyAlignment="1" applyProtection="1">
      <alignment horizontal="center" vertical="center" wrapText="1"/>
      <protection locked="0"/>
    </xf>
    <xf numFmtId="9" fontId="44" fillId="0" borderId="11" xfId="0" applyNumberFormat="1" applyFont="1" applyBorder="1" applyAlignment="1" applyProtection="1">
      <alignment horizontal="center" vertical="center" wrapText="1"/>
      <protection locked="0"/>
    </xf>
    <xf numFmtId="9" fontId="44" fillId="0" borderId="10" xfId="0" applyNumberFormat="1"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9" fontId="44" fillId="0" borderId="10" xfId="7" applyFont="1" applyFill="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26" fillId="3" borderId="37" xfId="0" applyFont="1" applyFill="1" applyBorder="1" applyAlignment="1">
      <alignment horizontal="center" vertical="center"/>
    </xf>
    <xf numFmtId="0" fontId="26" fillId="3" borderId="38"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0" xfId="0" applyFont="1" applyFill="1" applyBorder="1" applyAlignment="1">
      <alignment horizontal="center" vertical="center"/>
    </xf>
    <xf numFmtId="0" fontId="36" fillId="0" borderId="63" xfId="0" applyFont="1" applyBorder="1" applyAlignment="1">
      <alignment horizontal="left" vertical="center" wrapText="1"/>
    </xf>
    <xf numFmtId="0" fontId="36" fillId="0" borderId="66" xfId="0" applyFont="1" applyBorder="1" applyAlignment="1">
      <alignment horizontal="left" vertical="center" wrapText="1"/>
    </xf>
    <xf numFmtId="0" fontId="36" fillId="0" borderId="67" xfId="0" applyFont="1" applyBorder="1" applyAlignment="1">
      <alignment horizontal="left" vertical="center" wrapText="1"/>
    </xf>
    <xf numFmtId="0" fontId="26" fillId="3" borderId="24" xfId="0" applyFont="1" applyFill="1" applyBorder="1" applyAlignment="1">
      <alignment horizontal="center" vertical="center"/>
    </xf>
    <xf numFmtId="0" fontId="26" fillId="3" borderId="36"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 xfId="0" applyFont="1" applyFill="1" applyBorder="1" applyAlignment="1">
      <alignment horizontal="center" vertical="center"/>
    </xf>
    <xf numFmtId="0" fontId="36" fillId="0" borderId="64" xfId="0" applyFont="1" applyBorder="1" applyAlignment="1">
      <alignment horizontal="left" vertical="center" wrapText="1"/>
    </xf>
    <xf numFmtId="0" fontId="36" fillId="0" borderId="65" xfId="0" applyFont="1" applyBorder="1" applyAlignment="1">
      <alignment horizontal="left" vertical="center" wrapText="1"/>
    </xf>
    <xf numFmtId="0" fontId="36" fillId="0" borderId="60" xfId="0" applyFont="1" applyBorder="1" applyAlignment="1">
      <alignment horizontal="left" vertical="center" wrapText="1"/>
    </xf>
    <xf numFmtId="0" fontId="26" fillId="3" borderId="42" xfId="0" applyFont="1" applyFill="1" applyBorder="1" applyAlignment="1">
      <alignment horizontal="center" vertical="center" wrapText="1"/>
    </xf>
    <xf numFmtId="0" fontId="26" fillId="3" borderId="43" xfId="0" applyFont="1" applyFill="1" applyBorder="1" applyAlignment="1">
      <alignment horizontal="center" vertical="center" wrapText="1"/>
    </xf>
    <xf numFmtId="0" fontId="24" fillId="0" borderId="3" xfId="1" applyFill="1" applyBorder="1" applyAlignment="1">
      <alignment horizontal="center" vertical="center" wrapText="1"/>
    </xf>
    <xf numFmtId="0" fontId="0" fillId="0" borderId="4" xfId="0" applyBorder="1" applyAlignment="1">
      <alignment horizontal="center" vertical="center" wrapText="1"/>
    </xf>
    <xf numFmtId="0" fontId="24" fillId="0" borderId="5" xfId="1" applyFill="1" applyBorder="1" applyAlignment="1">
      <alignment horizontal="center" vertical="center" wrapText="1"/>
    </xf>
    <xf numFmtId="0" fontId="24" fillId="0" borderId="14" xfId="1" applyFill="1" applyBorder="1" applyAlignment="1">
      <alignment horizontal="center" vertical="center" wrapText="1"/>
    </xf>
    <xf numFmtId="0" fontId="0" fillId="0" borderId="35" xfId="0" applyBorder="1" applyAlignment="1">
      <alignment horizontal="center" vertical="center" wrapText="1"/>
    </xf>
    <xf numFmtId="0" fontId="0" fillId="0" borderId="44" xfId="0" applyBorder="1" applyAlignment="1">
      <alignment horizontal="center" vertical="center" wrapText="1"/>
    </xf>
    <xf numFmtId="0" fontId="65" fillId="3" borderId="26"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45"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4" fillId="0" borderId="41" xfId="1" applyFill="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1" fillId="14" borderId="1" xfId="0" applyFont="1" applyFill="1" applyBorder="1" applyAlignment="1" applyProtection="1">
      <alignment horizontal="center" vertical="center" wrapText="1"/>
      <protection hidden="1"/>
    </xf>
    <xf numFmtId="0" fontId="28" fillId="3" borderId="26" xfId="0" applyFont="1" applyFill="1" applyBorder="1" applyAlignment="1" applyProtection="1">
      <alignment horizontal="center" vertical="center"/>
      <protection hidden="1"/>
    </xf>
    <xf numFmtId="0" fontId="28" fillId="3" borderId="10" xfId="0" applyFont="1" applyFill="1" applyBorder="1" applyAlignment="1" applyProtection="1">
      <alignment horizontal="center" vertical="center"/>
      <protection hidden="1"/>
    </xf>
    <xf numFmtId="0" fontId="28" fillId="3" borderId="3" xfId="0" applyFont="1" applyFill="1" applyBorder="1" applyAlignment="1" applyProtection="1">
      <alignment horizontal="center" vertical="center"/>
      <protection hidden="1"/>
    </xf>
    <xf numFmtId="0" fontId="28" fillId="3" borderId="1" xfId="0" applyFont="1" applyFill="1" applyBorder="1" applyAlignment="1" applyProtection="1">
      <alignment horizontal="center" vertical="center"/>
      <protection hidden="1"/>
    </xf>
    <xf numFmtId="0" fontId="54" fillId="7" borderId="10" xfId="0" applyFont="1" applyFill="1" applyBorder="1" applyAlignment="1" applyProtection="1">
      <alignment horizontal="center" vertical="center" wrapText="1"/>
      <protection hidden="1"/>
    </xf>
    <xf numFmtId="0" fontId="54" fillId="7" borderId="1" xfId="0" applyFont="1" applyFill="1" applyBorder="1" applyAlignment="1" applyProtection="1">
      <alignment horizontal="center" vertical="center" wrapText="1"/>
      <protection hidden="1"/>
    </xf>
    <xf numFmtId="0" fontId="54" fillId="6" borderId="10" xfId="0" applyFont="1" applyFill="1" applyBorder="1" applyAlignment="1" applyProtection="1">
      <alignment horizontal="center" vertical="center"/>
      <protection hidden="1"/>
    </xf>
    <xf numFmtId="9" fontId="28" fillId="5" borderId="10" xfId="7" applyFont="1" applyFill="1" applyBorder="1" applyAlignment="1" applyProtection="1">
      <alignment horizontal="center" vertical="center"/>
      <protection hidden="1"/>
    </xf>
    <xf numFmtId="9" fontId="28" fillId="5" borderId="28" xfId="7" applyFont="1" applyFill="1" applyBorder="1" applyAlignment="1" applyProtection="1">
      <alignment horizontal="center" vertical="center"/>
      <protection hidden="1"/>
    </xf>
    <xf numFmtId="0" fontId="28" fillId="16" borderId="26" xfId="0" applyFont="1" applyFill="1" applyBorder="1" applyAlignment="1" applyProtection="1">
      <alignment horizontal="center" vertical="center"/>
      <protection hidden="1"/>
    </xf>
    <xf numFmtId="0" fontId="28" fillId="16" borderId="10" xfId="0" applyFont="1" applyFill="1" applyBorder="1" applyAlignment="1" applyProtection="1">
      <alignment horizontal="center" vertical="center"/>
      <protection hidden="1"/>
    </xf>
    <xf numFmtId="0" fontId="29" fillId="6" borderId="1" xfId="0" applyFont="1" applyFill="1" applyBorder="1" applyAlignment="1" applyProtection="1">
      <alignment horizontal="center" vertical="center" wrapText="1"/>
      <protection hidden="1"/>
    </xf>
    <xf numFmtId="0" fontId="30" fillId="3" borderId="1" xfId="0" applyFont="1" applyFill="1" applyBorder="1" applyAlignment="1" applyProtection="1">
      <alignment horizontal="center" vertical="center" wrapText="1"/>
      <protection hidden="1"/>
    </xf>
    <xf numFmtId="0" fontId="41" fillId="14" borderId="3" xfId="0" applyFont="1" applyFill="1" applyBorder="1" applyAlignment="1" applyProtection="1">
      <alignment horizontal="center" vertical="center" wrapText="1"/>
      <protection hidden="1"/>
    </xf>
    <xf numFmtId="0" fontId="29" fillId="15" borderId="1" xfId="0" applyFont="1" applyFill="1" applyBorder="1" applyAlignment="1" applyProtection="1">
      <alignment horizontal="center" vertical="center" wrapText="1"/>
      <protection hidden="1"/>
    </xf>
    <xf numFmtId="0" fontId="44" fillId="0" borderId="10"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1" xfId="0" applyFont="1" applyBorder="1" applyAlignment="1" applyProtection="1">
      <alignment horizontal="center" vertical="center" wrapText="1"/>
      <protection locked="0"/>
    </xf>
    <xf numFmtId="9" fontId="44" fillId="0" borderId="10" xfId="7" applyFont="1" applyBorder="1" applyAlignment="1" applyProtection="1">
      <alignment horizontal="center" vertical="center" wrapText="1"/>
      <protection locked="0"/>
    </xf>
    <xf numFmtId="9" fontId="44" fillId="0" borderId="1" xfId="7" applyFont="1" applyBorder="1" applyAlignment="1" applyProtection="1">
      <alignment horizontal="center" vertical="center" wrapText="1"/>
      <protection locked="0"/>
    </xf>
    <xf numFmtId="9" fontId="44" fillId="0" borderId="11" xfId="7" applyFont="1" applyBorder="1" applyAlignment="1" applyProtection="1">
      <alignment horizontal="center" vertical="center" wrapText="1"/>
      <protection locked="0"/>
    </xf>
    <xf numFmtId="0" fontId="42" fillId="11" borderId="23" xfId="0" applyFont="1" applyFill="1" applyBorder="1" applyAlignment="1" applyProtection="1">
      <alignment horizontal="center" vertical="center" wrapText="1"/>
      <protection locked="0"/>
    </xf>
    <xf numFmtId="0" fontId="42" fillId="11" borderId="2" xfId="0" applyFont="1" applyFill="1" applyBorder="1" applyAlignment="1" applyProtection="1">
      <alignment horizontal="center" vertical="center" wrapText="1"/>
      <protection locked="0"/>
    </xf>
    <xf numFmtId="0" fontId="42" fillId="11" borderId="13" xfId="0" applyFont="1" applyFill="1" applyBorder="1" applyAlignment="1" applyProtection="1">
      <alignment horizontal="center" vertical="center" wrapText="1"/>
      <protection locked="0"/>
    </xf>
    <xf numFmtId="9" fontId="42" fillId="0" borderId="10" xfId="7" applyFont="1" applyFill="1" applyBorder="1" applyAlignment="1" applyProtection="1">
      <alignment horizontal="center" vertical="center" wrapText="1"/>
      <protection locked="0"/>
    </xf>
    <xf numFmtId="9" fontId="42" fillId="0" borderId="1" xfId="7" applyFont="1" applyFill="1" applyBorder="1" applyAlignment="1" applyProtection="1">
      <alignment horizontal="center" vertical="center" wrapText="1"/>
      <protection locked="0"/>
    </xf>
    <xf numFmtId="9" fontId="42" fillId="0" borderId="11" xfId="7" applyFont="1" applyFill="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4" fillId="0" borderId="10" xfId="0" applyFont="1" applyBorder="1" applyAlignment="1" applyProtection="1">
      <alignment horizontal="left" vertical="center" wrapText="1"/>
      <protection locked="0"/>
    </xf>
    <xf numFmtId="0" fontId="44" fillId="0" borderId="11" xfId="0" applyFont="1" applyBorder="1" applyAlignment="1" applyProtection="1">
      <alignment horizontal="left" vertical="center" wrapText="1"/>
      <protection locked="0"/>
    </xf>
    <xf numFmtId="0" fontId="29" fillId="15" borderId="24" xfId="0" applyFont="1" applyFill="1" applyBorder="1" applyAlignment="1" applyProtection="1">
      <alignment horizontal="center" vertical="center" wrapText="1"/>
      <protection hidden="1"/>
    </xf>
    <xf numFmtId="0" fontId="42"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10" xfId="0" applyFont="1" applyBorder="1" applyAlignment="1" applyProtection="1">
      <alignment horizontal="center" vertical="center" wrapText="1"/>
      <protection locked="0" hidden="1"/>
    </xf>
    <xf numFmtId="0" fontId="44" fillId="0" borderId="1" xfId="0" applyFont="1" applyBorder="1" applyAlignment="1" applyProtection="1">
      <alignment horizontal="center" vertical="center" wrapText="1"/>
      <protection locked="0" hidden="1"/>
    </xf>
    <xf numFmtId="0" fontId="44" fillId="0" borderId="11" xfId="0" applyFont="1" applyBorder="1" applyAlignment="1" applyProtection="1">
      <alignment horizontal="center" vertical="center" wrapText="1"/>
      <protection locked="0" hidden="1"/>
    </xf>
    <xf numFmtId="0" fontId="44" fillId="0" borderId="10" xfId="0" applyFont="1" applyBorder="1" applyAlignment="1" applyProtection="1">
      <alignment horizontal="left" vertical="center" wrapText="1"/>
      <protection locked="0" hidden="1"/>
    </xf>
    <xf numFmtId="0" fontId="44" fillId="0" borderId="11" xfId="0" applyFont="1" applyBorder="1" applyAlignment="1" applyProtection="1">
      <alignment horizontal="left" vertical="center" wrapText="1"/>
      <protection locked="0" hidden="1"/>
    </xf>
    <xf numFmtId="0" fontId="43" fillId="0" borderId="10" xfId="0" applyFont="1" applyBorder="1" applyAlignment="1" applyProtection="1">
      <alignment horizontal="center" vertical="center" wrapText="1"/>
      <protection locked="0"/>
    </xf>
    <xf numFmtId="0" fontId="43" fillId="0" borderId="11" xfId="0" applyFont="1" applyBorder="1" applyAlignment="1" applyProtection="1">
      <alignment horizontal="center" vertical="center" wrapText="1"/>
      <protection locked="0"/>
    </xf>
    <xf numFmtId="9" fontId="42" fillId="0" borderId="10" xfId="7" applyFont="1" applyBorder="1" applyAlignment="1" applyProtection="1">
      <alignment horizontal="center" vertical="center" wrapText="1"/>
      <protection locked="0"/>
    </xf>
    <xf numFmtId="9" fontId="42" fillId="0" borderId="1" xfId="7" applyFont="1" applyBorder="1" applyAlignment="1" applyProtection="1">
      <alignment horizontal="center" vertical="center" wrapText="1"/>
      <protection locked="0"/>
    </xf>
    <xf numFmtId="9" fontId="42" fillId="0" borderId="11" xfId="7" applyFont="1" applyBorder="1" applyAlignment="1" applyProtection="1">
      <alignment horizontal="center" vertical="center" wrapText="1"/>
      <protection locked="0"/>
    </xf>
    <xf numFmtId="0" fontId="42" fillId="11" borderId="10" xfId="0" applyFont="1" applyFill="1" applyBorder="1" applyAlignment="1" applyProtection="1">
      <alignment horizontal="center" vertical="center" wrapText="1"/>
      <protection locked="0"/>
    </xf>
    <xf numFmtId="0" fontId="42" fillId="11" borderId="1" xfId="0" applyFont="1" applyFill="1" applyBorder="1" applyAlignment="1" applyProtection="1">
      <alignment horizontal="center" vertical="center" wrapText="1"/>
      <protection locked="0"/>
    </xf>
    <xf numFmtId="0" fontId="42" fillId="11" borderId="11" xfId="0" applyFont="1" applyFill="1" applyBorder="1" applyAlignment="1" applyProtection="1">
      <alignment horizontal="center" vertical="center" wrapText="1"/>
      <protection locked="0"/>
    </xf>
    <xf numFmtId="0" fontId="42" fillId="10" borderId="10" xfId="0" applyFont="1" applyFill="1" applyBorder="1" applyAlignment="1" applyProtection="1">
      <alignment horizontal="center" vertical="center" wrapText="1"/>
      <protection locked="0"/>
    </xf>
    <xf numFmtId="0" fontId="42" fillId="10" borderId="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8" borderId="10" xfId="0" applyFont="1" applyFill="1" applyBorder="1" applyAlignment="1" applyProtection="1">
      <alignment horizontal="center" vertical="center" wrapText="1"/>
      <protection locked="0"/>
    </xf>
    <xf numFmtId="0" fontId="42" fillId="8" borderId="11" xfId="0" applyFont="1" applyFill="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hidden="1"/>
    </xf>
    <xf numFmtId="9" fontId="44" fillId="0" borderId="23" xfId="7" applyFont="1" applyFill="1" applyBorder="1" applyAlignment="1" applyProtection="1">
      <alignment horizontal="center" vertical="center" wrapText="1"/>
      <protection locked="0"/>
    </xf>
    <xf numFmtId="9" fontId="44" fillId="0" borderId="2" xfId="7" applyFont="1" applyFill="1" applyBorder="1" applyAlignment="1" applyProtection="1">
      <alignment horizontal="center" vertical="center" wrapText="1"/>
      <protection locked="0"/>
    </xf>
    <xf numFmtId="9" fontId="44" fillId="0" borderId="13" xfId="7" applyFont="1" applyFill="1" applyBorder="1" applyAlignment="1" applyProtection="1">
      <alignment horizontal="center" vertical="center" wrapText="1"/>
      <protection locked="0"/>
    </xf>
    <xf numFmtId="0" fontId="42" fillId="0" borderId="10" xfId="0" applyFont="1" applyBorder="1" applyAlignment="1" applyProtection="1">
      <alignment horizontal="center" vertical="center"/>
      <protection hidden="1"/>
    </xf>
    <xf numFmtId="0" fontId="42" fillId="0" borderId="11" xfId="0" applyFont="1" applyBorder="1" applyAlignment="1" applyProtection="1">
      <alignment horizontal="center" vertical="center"/>
      <protection hidden="1"/>
    </xf>
    <xf numFmtId="0" fontId="44" fillId="0" borderId="10" xfId="0" applyFont="1" applyBorder="1" applyAlignment="1" applyProtection="1">
      <alignment horizontal="center" vertical="center" wrapText="1"/>
      <protection hidden="1"/>
    </xf>
    <xf numFmtId="0" fontId="44" fillId="0" borderId="11" xfId="0" applyFont="1" applyBorder="1" applyAlignment="1" applyProtection="1">
      <alignment horizontal="center" vertical="center" wrapText="1"/>
      <protection hidden="1"/>
    </xf>
    <xf numFmtId="43" fontId="44" fillId="0" borderId="1" xfId="3" applyFont="1" applyBorder="1" applyAlignment="1" applyProtection="1">
      <alignment horizontal="center" vertical="center" wrapText="1"/>
      <protection locked="0"/>
    </xf>
    <xf numFmtId="43" fontId="44" fillId="0" borderId="11" xfId="3" applyFont="1" applyBorder="1" applyAlignment="1" applyProtection="1">
      <alignment horizontal="center" vertical="center" wrapText="1"/>
      <protection locked="0"/>
    </xf>
    <xf numFmtId="0" fontId="25" fillId="9" borderId="9" xfId="0" applyFont="1" applyFill="1" applyBorder="1" applyAlignment="1">
      <alignment horizontal="center" vertical="center"/>
    </xf>
    <xf numFmtId="0" fontId="25" fillId="9" borderId="0" xfId="0" applyFont="1" applyFill="1" applyAlignment="1">
      <alignment horizontal="center" vertical="center"/>
    </xf>
    <xf numFmtId="0" fontId="34" fillId="9" borderId="59" xfId="0" applyFont="1" applyFill="1" applyBorder="1" applyAlignment="1">
      <alignment horizontal="center" vertical="center" wrapText="1"/>
    </xf>
    <xf numFmtId="0" fontId="34" fillId="9" borderId="68" xfId="0" applyFont="1" applyFill="1" applyBorder="1" applyAlignment="1">
      <alignment horizontal="center" vertical="center" wrapText="1"/>
    </xf>
    <xf numFmtId="0" fontId="34" fillId="9" borderId="1" xfId="0" applyFont="1" applyFill="1" applyBorder="1" applyAlignment="1">
      <alignment horizontal="center" vertical="center" wrapText="1"/>
    </xf>
    <xf numFmtId="14" fontId="44" fillId="0" borderId="1" xfId="0" applyNumberFormat="1" applyFont="1" applyBorder="1" applyAlignment="1" applyProtection="1">
      <alignment horizontal="center" vertical="center" wrapText="1"/>
      <protection locked="0" hidden="1"/>
    </xf>
    <xf numFmtId="14" fontId="44" fillId="0" borderId="11" xfId="0" applyNumberFormat="1" applyFont="1" applyBorder="1" applyAlignment="1" applyProtection="1">
      <alignment horizontal="center" vertical="center" wrapText="1"/>
      <protection locked="0" hidden="1"/>
    </xf>
    <xf numFmtId="9" fontId="44" fillId="0" borderId="23" xfId="7" applyFont="1" applyFill="1" applyBorder="1" applyAlignment="1" applyProtection="1">
      <alignment horizontal="center" vertical="center"/>
      <protection hidden="1"/>
    </xf>
    <xf numFmtId="9" fontId="44" fillId="0" borderId="13" xfId="7" applyFont="1" applyFill="1" applyBorder="1" applyAlignment="1" applyProtection="1">
      <alignment horizontal="center" vertical="center"/>
      <protection hidden="1"/>
    </xf>
    <xf numFmtId="9" fontId="44" fillId="0" borderId="23" xfId="7" applyFont="1" applyFill="1" applyBorder="1" applyAlignment="1" applyProtection="1">
      <alignment horizontal="center" vertical="center" wrapText="1"/>
      <protection hidden="1"/>
    </xf>
    <xf numFmtId="9" fontId="44" fillId="0" borderId="13" xfId="7" applyFont="1" applyFill="1" applyBorder="1" applyAlignment="1" applyProtection="1">
      <alignment horizontal="center" vertical="center" wrapText="1"/>
      <protection hidden="1"/>
    </xf>
    <xf numFmtId="9" fontId="44" fillId="8" borderId="10" xfId="7" applyFont="1" applyFill="1" applyBorder="1" applyAlignment="1" applyProtection="1">
      <alignment horizontal="center" vertical="center" wrapText="1"/>
      <protection locked="0"/>
    </xf>
    <xf numFmtId="9" fontId="44" fillId="8" borderId="11" xfId="7" applyFont="1" applyFill="1" applyBorder="1" applyAlignment="1" applyProtection="1">
      <alignment horizontal="center" vertical="center" wrapText="1"/>
      <protection locked="0"/>
    </xf>
    <xf numFmtId="0" fontId="44" fillId="12" borderId="23" xfId="0" applyFont="1" applyFill="1" applyBorder="1" applyAlignment="1" applyProtection="1">
      <alignment horizontal="center" vertical="center" wrapText="1"/>
      <protection hidden="1"/>
    </xf>
    <xf numFmtId="0" fontId="44" fillId="12" borderId="13" xfId="0" applyFont="1" applyFill="1" applyBorder="1" applyAlignment="1" applyProtection="1">
      <alignment horizontal="center" vertical="center" wrapText="1"/>
      <protection hidden="1"/>
    </xf>
    <xf numFmtId="0" fontId="42" fillId="0" borderId="10" xfId="0" applyFont="1" applyBorder="1" applyAlignment="1" applyProtection="1">
      <alignment horizontal="center" vertical="center" wrapText="1"/>
      <protection hidden="1"/>
    </xf>
    <xf numFmtId="0" fontId="42" fillId="0" borderId="11" xfId="0" applyFont="1" applyBorder="1" applyAlignment="1" applyProtection="1">
      <alignment horizontal="center" vertical="center" wrapText="1"/>
      <protection hidden="1"/>
    </xf>
    <xf numFmtId="0" fontId="44" fillId="0" borderId="1" xfId="0" applyFont="1" applyBorder="1" applyAlignment="1" applyProtection="1">
      <alignment horizontal="center" vertical="center" wrapText="1"/>
      <protection hidden="1"/>
    </xf>
    <xf numFmtId="9" fontId="42" fillId="8" borderId="10" xfId="7" applyFont="1" applyFill="1" applyBorder="1" applyAlignment="1" applyProtection="1">
      <alignment horizontal="center" vertical="center" wrapText="1"/>
      <protection locked="0"/>
    </xf>
    <xf numFmtId="9" fontId="42" fillId="8" borderId="11" xfId="7" applyFont="1" applyFill="1" applyBorder="1" applyAlignment="1" applyProtection="1">
      <alignment horizontal="center" vertical="center" wrapText="1"/>
      <protection locked="0"/>
    </xf>
    <xf numFmtId="9" fontId="44" fillId="0" borderId="10" xfId="7" applyFont="1" applyFill="1" applyBorder="1" applyAlignment="1" applyProtection="1">
      <alignment horizontal="center" vertical="center" wrapText="1"/>
      <protection hidden="1"/>
    </xf>
    <xf numFmtId="9" fontId="44" fillId="0" borderId="11" xfId="7" applyFont="1" applyFill="1" applyBorder="1" applyAlignment="1" applyProtection="1">
      <alignment horizontal="center" vertical="center" wrapText="1"/>
      <protection hidden="1"/>
    </xf>
    <xf numFmtId="0" fontId="42" fillId="13" borderId="10" xfId="0" applyFont="1" applyFill="1" applyBorder="1" applyAlignment="1" applyProtection="1">
      <alignment horizontal="center" vertical="center" wrapText="1"/>
      <protection locked="0"/>
    </xf>
    <xf numFmtId="0" fontId="42" fillId="13" borderId="11" xfId="0" applyFont="1" applyFill="1" applyBorder="1" applyAlignment="1" applyProtection="1">
      <alignment horizontal="center" vertical="center" wrapText="1"/>
      <protection locked="0"/>
    </xf>
    <xf numFmtId="9" fontId="44" fillId="0" borderId="1" xfId="7" applyFont="1" applyFill="1" applyBorder="1" applyAlignment="1" applyProtection="1">
      <alignment horizontal="center" vertical="center" wrapText="1"/>
      <protection locked="0"/>
    </xf>
    <xf numFmtId="9" fontId="44" fillId="0" borderId="11" xfId="7"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hidden="1"/>
    </xf>
    <xf numFmtId="0" fontId="54" fillId="6" borderId="1" xfId="0" applyFont="1" applyFill="1" applyBorder="1" applyAlignment="1" applyProtection="1">
      <alignment horizontal="center" vertical="center" wrapText="1"/>
      <protection hidden="1"/>
    </xf>
    <xf numFmtId="9" fontId="28" fillId="5" borderId="1" xfId="7" applyFont="1" applyFill="1" applyBorder="1" applyAlignment="1" applyProtection="1">
      <alignment horizontal="center" vertical="center" wrapText="1"/>
      <protection hidden="1"/>
    </xf>
    <xf numFmtId="0" fontId="28" fillId="16" borderId="1" xfId="0" applyFont="1" applyFill="1" applyBorder="1" applyAlignment="1" applyProtection="1">
      <alignment horizontal="center" vertical="center" wrapText="1"/>
      <protection hidden="1"/>
    </xf>
    <xf numFmtId="0" fontId="25" fillId="9" borderId="1" xfId="0" applyFont="1" applyFill="1" applyBorder="1" applyAlignment="1">
      <alignment horizontal="center" vertical="center" wrapText="1"/>
    </xf>
    <xf numFmtId="0" fontId="52" fillId="0" borderId="10" xfId="0" applyFont="1" applyBorder="1" applyAlignment="1" applyProtection="1">
      <alignment horizontal="center" vertical="center" wrapText="1"/>
      <protection locked="0"/>
    </xf>
    <xf numFmtId="0" fontId="52" fillId="0" borderId="11"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9" fontId="52" fillId="0" borderId="10" xfId="0" applyNumberFormat="1" applyFont="1" applyBorder="1" applyAlignment="1" applyProtection="1">
      <alignment horizontal="center" vertical="center" wrapText="1"/>
      <protection locked="0"/>
    </xf>
    <xf numFmtId="9" fontId="52" fillId="0" borderId="11" xfId="0" applyNumberFormat="1" applyFont="1" applyBorder="1" applyAlignment="1" applyProtection="1">
      <alignment horizontal="center" vertical="center" wrapText="1"/>
      <protection locked="0"/>
    </xf>
    <xf numFmtId="9" fontId="52" fillId="0" borderId="12" xfId="0" applyNumberFormat="1" applyFont="1" applyBorder="1" applyAlignment="1" applyProtection="1">
      <alignment horizontal="center" vertical="center" wrapText="1"/>
      <protection locked="0"/>
    </xf>
    <xf numFmtId="0" fontId="52" fillId="0" borderId="1" xfId="0" applyFont="1" applyBorder="1" applyAlignment="1" applyProtection="1">
      <alignment horizontal="center" vertical="center" wrapText="1"/>
      <protection locked="0"/>
    </xf>
    <xf numFmtId="9" fontId="52" fillId="0" borderId="1" xfId="0" applyNumberFormat="1" applyFont="1" applyBorder="1" applyAlignment="1" applyProtection="1">
      <alignment horizontal="center" vertical="center" wrapText="1"/>
      <protection locked="0"/>
    </xf>
    <xf numFmtId="0" fontId="52" fillId="0" borderId="10" xfId="0" applyFont="1" applyBorder="1" applyAlignment="1" applyProtection="1">
      <alignment horizontal="left" vertical="center" wrapText="1"/>
      <protection locked="0"/>
    </xf>
    <xf numFmtId="0" fontId="52" fillId="0" borderId="11" xfId="0" applyFont="1" applyBorder="1" applyAlignment="1" applyProtection="1">
      <alignment horizontal="left" vertical="center" wrapText="1"/>
      <protection locked="0"/>
    </xf>
    <xf numFmtId="0" fontId="37" fillId="0" borderId="1" xfId="0" applyFont="1" applyBorder="1" applyAlignment="1" applyProtection="1">
      <alignment horizontal="center" vertical="center" wrapText="1"/>
      <protection locked="0"/>
    </xf>
    <xf numFmtId="0" fontId="52" fillId="0" borderId="1" xfId="0" applyFont="1" applyBorder="1" applyAlignment="1" applyProtection="1">
      <alignment horizontal="left" vertical="center" wrapText="1"/>
      <protection locked="0"/>
    </xf>
    <xf numFmtId="0" fontId="52" fillId="0" borderId="10" xfId="0" applyFont="1" applyBorder="1" applyAlignment="1" applyProtection="1">
      <alignment horizontal="left" vertical="center" wrapText="1"/>
      <protection locked="0" hidden="1"/>
    </xf>
    <xf numFmtId="0" fontId="52" fillId="0" borderId="11" xfId="0" applyFont="1" applyBorder="1" applyAlignment="1" applyProtection="1">
      <alignment horizontal="left" vertical="center" wrapText="1"/>
      <protection locked="0" hidden="1"/>
    </xf>
    <xf numFmtId="0" fontId="52" fillId="0" borderId="10" xfId="0" applyFont="1" applyBorder="1" applyAlignment="1" applyProtection="1">
      <alignment horizontal="center" vertical="center" wrapText="1"/>
      <protection locked="0" hidden="1"/>
    </xf>
    <xf numFmtId="0" fontId="52" fillId="0" borderId="11" xfId="0" applyFont="1" applyBorder="1" applyAlignment="1" applyProtection="1">
      <alignment horizontal="center" vertical="center" wrapText="1"/>
      <protection locked="0" hidden="1"/>
    </xf>
    <xf numFmtId="0" fontId="53" fillId="0" borderId="10" xfId="0" applyFont="1" applyBorder="1" applyAlignment="1" applyProtection="1">
      <alignment horizontal="center" vertical="center" wrapText="1"/>
      <protection locked="0" hidden="1"/>
    </xf>
    <xf numFmtId="0" fontId="53" fillId="0" borderId="11" xfId="0" applyFont="1" applyBorder="1" applyAlignment="1" applyProtection="1">
      <alignment horizontal="center" vertical="center" wrapText="1"/>
      <protection locked="0" hidden="1"/>
    </xf>
    <xf numFmtId="0" fontId="42" fillId="11" borderId="15" xfId="0" applyFont="1" applyFill="1" applyBorder="1" applyAlignment="1" applyProtection="1">
      <alignment horizontal="center" vertical="center" wrapText="1"/>
      <protection locked="0"/>
    </xf>
    <xf numFmtId="0" fontId="42" fillId="10" borderId="15" xfId="0" applyFont="1" applyFill="1" applyBorder="1" applyAlignment="1" applyProtection="1">
      <alignment horizontal="center" vertical="center" wrapText="1"/>
      <protection locked="0"/>
    </xf>
    <xf numFmtId="0" fontId="42" fillId="10" borderId="13" xfId="0" applyFont="1" applyFill="1" applyBorder="1" applyAlignment="1" applyProtection="1">
      <alignment horizontal="center" vertical="center" wrapText="1"/>
      <protection locked="0"/>
    </xf>
    <xf numFmtId="0" fontId="42" fillId="10" borderId="23" xfId="0" applyFont="1" applyFill="1" applyBorder="1" applyAlignment="1" applyProtection="1">
      <alignment horizontal="center" vertical="center" wrapText="1"/>
      <protection locked="0"/>
    </xf>
    <xf numFmtId="0" fontId="42" fillId="10" borderId="2" xfId="0" applyFont="1" applyFill="1" applyBorder="1" applyAlignment="1" applyProtection="1">
      <alignment horizontal="center" vertical="center" wrapText="1"/>
      <protection locked="0"/>
    </xf>
    <xf numFmtId="0" fontId="37" fillId="11" borderId="10" xfId="0" applyFont="1" applyFill="1" applyBorder="1" applyAlignment="1" applyProtection="1">
      <alignment horizontal="center" vertical="center" wrapText="1"/>
      <protection locked="0"/>
    </xf>
    <xf numFmtId="0" fontId="37" fillId="11" borderId="11" xfId="0" applyFont="1" applyFill="1" applyBorder="1" applyAlignment="1" applyProtection="1">
      <alignment horizontal="center" vertical="center" wrapText="1"/>
      <protection locked="0"/>
    </xf>
    <xf numFmtId="9" fontId="53" fillId="0" borderId="10" xfId="7" applyFont="1" applyBorder="1" applyAlignment="1" applyProtection="1">
      <alignment horizontal="center" vertical="center" wrapText="1"/>
      <protection locked="0"/>
    </xf>
    <xf numFmtId="9" fontId="53" fillId="0" borderId="11" xfId="7" applyFont="1" applyBorder="1" applyAlignment="1" applyProtection="1">
      <alignment horizontal="center" vertical="center" wrapText="1"/>
      <protection locked="0"/>
    </xf>
    <xf numFmtId="9" fontId="52" fillId="0" borderId="10" xfId="7" applyFont="1" applyBorder="1" applyAlignment="1" applyProtection="1">
      <alignment horizontal="center" vertical="center" wrapText="1"/>
      <protection locked="0"/>
    </xf>
    <xf numFmtId="9" fontId="52" fillId="0" borderId="11" xfId="7" applyFont="1" applyBorder="1" applyAlignment="1" applyProtection="1">
      <alignment horizontal="center" vertical="center" wrapText="1"/>
      <protection locked="0"/>
    </xf>
    <xf numFmtId="0" fontId="37" fillId="11" borderId="1" xfId="0" applyFont="1" applyFill="1" applyBorder="1" applyAlignment="1" applyProtection="1">
      <alignment horizontal="center" vertical="center" wrapText="1"/>
      <protection locked="0"/>
    </xf>
    <xf numFmtId="9" fontId="52" fillId="0" borderId="1" xfId="7" applyFont="1" applyBorder="1" applyAlignment="1" applyProtection="1">
      <alignment horizontal="center" vertical="center" wrapText="1"/>
      <protection locked="0"/>
    </xf>
    <xf numFmtId="0" fontId="51" fillId="0" borderId="1" xfId="0" applyFont="1" applyBorder="1" applyAlignment="1">
      <alignment horizontal="center" vertical="center" wrapText="1"/>
    </xf>
    <xf numFmtId="0" fontId="51" fillId="0" borderId="11" xfId="0" applyFont="1" applyBorder="1" applyAlignment="1">
      <alignment horizontal="center" vertical="center" wrapText="1"/>
    </xf>
    <xf numFmtId="9" fontId="44" fillId="0" borderId="1" xfId="0" applyNumberFormat="1" applyFont="1" applyBorder="1" applyAlignment="1" applyProtection="1">
      <alignment horizontal="center" vertical="center" wrapText="1"/>
      <protection locked="0"/>
    </xf>
    <xf numFmtId="9" fontId="44" fillId="0" borderId="11" xfId="0" applyNumberFormat="1" applyFont="1" applyBorder="1" applyAlignment="1" applyProtection="1">
      <alignment horizontal="center" vertical="center" wrapText="1"/>
      <protection locked="0"/>
    </xf>
    <xf numFmtId="0" fontId="42" fillId="0" borderId="15"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51" fillId="0" borderId="15"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13"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 xfId="0" applyFont="1" applyBorder="1" applyAlignment="1">
      <alignment horizontal="left" vertical="center" wrapText="1"/>
    </xf>
    <xf numFmtId="0" fontId="45" fillId="0" borderId="11" xfId="0" applyFont="1" applyBorder="1" applyAlignment="1">
      <alignment horizontal="left" vertical="center" wrapText="1"/>
    </xf>
    <xf numFmtId="0" fontId="29" fillId="6" borderId="1" xfId="0" applyFont="1" applyFill="1" applyBorder="1" applyAlignment="1" applyProtection="1">
      <alignment horizontal="left" vertical="center" wrapText="1"/>
      <protection hidden="1"/>
    </xf>
    <xf numFmtId="0" fontId="43" fillId="0" borderId="18" xfId="0" applyFont="1" applyBorder="1" applyAlignment="1" applyProtection="1">
      <alignment horizontal="center" vertical="center" wrapText="1"/>
      <protection locked="0"/>
    </xf>
    <xf numFmtId="0" fontId="43" fillId="0" borderId="19" xfId="0" applyFont="1" applyBorder="1" applyAlignment="1" applyProtection="1">
      <alignment horizontal="center" vertical="center" wrapText="1"/>
      <protection locked="0"/>
    </xf>
    <xf numFmtId="0" fontId="42" fillId="0" borderId="18" xfId="0" applyFont="1" applyBorder="1" applyAlignment="1" applyProtection="1">
      <alignment horizontal="center" vertical="center" wrapText="1"/>
      <protection locked="0"/>
    </xf>
    <xf numFmtId="9" fontId="44" fillId="0" borderId="18" xfId="0" applyNumberFormat="1" applyFont="1" applyBorder="1" applyAlignment="1" applyProtection="1">
      <alignment horizontal="center" vertical="center" wrapText="1"/>
      <protection locked="0"/>
    </xf>
    <xf numFmtId="0" fontId="47" fillId="0" borderId="18" xfId="0" applyFont="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9" fontId="44" fillId="0" borderId="12" xfId="0" applyNumberFormat="1" applyFont="1" applyBorder="1" applyAlignment="1" applyProtection="1">
      <alignment horizontal="center" vertical="center" wrapText="1"/>
      <protection locked="0"/>
    </xf>
    <xf numFmtId="9" fontId="43" fillId="0" borderId="12" xfId="7" applyFont="1" applyFill="1" applyBorder="1" applyAlignment="1" applyProtection="1">
      <alignment horizontal="center" vertical="center" wrapText="1"/>
      <protection locked="0"/>
    </xf>
    <xf numFmtId="9" fontId="43" fillId="0" borderId="11" xfId="7" applyFont="1" applyFill="1" applyBorder="1" applyAlignment="1" applyProtection="1">
      <alignment horizontal="center" vertical="center" wrapText="1"/>
      <protection locked="0"/>
    </xf>
    <xf numFmtId="9" fontId="44" fillId="0" borderId="19" xfId="0" applyNumberFormat="1" applyFont="1" applyBorder="1" applyAlignment="1" applyProtection="1">
      <alignment horizontal="center" vertical="center" wrapText="1"/>
      <protection locked="0"/>
    </xf>
    <xf numFmtId="0" fontId="43" fillId="0" borderId="18" xfId="0" applyFont="1" applyBorder="1" applyAlignment="1" applyProtection="1">
      <alignment horizontal="left" vertical="center" wrapText="1"/>
      <protection locked="0"/>
    </xf>
    <xf numFmtId="0" fontId="43" fillId="0" borderId="19" xfId="0" applyFont="1" applyBorder="1" applyAlignment="1" applyProtection="1">
      <alignment horizontal="left" vertical="center" wrapText="1"/>
      <protection locked="0"/>
    </xf>
    <xf numFmtId="0" fontId="43" fillId="0" borderId="18" xfId="0" applyFont="1" applyBorder="1" applyAlignment="1" applyProtection="1">
      <alignment horizontal="center" vertical="center" wrapText="1"/>
      <protection locked="0" hidden="1"/>
    </xf>
    <xf numFmtId="0" fontId="43" fillId="0" borderId="19" xfId="0" applyFont="1" applyBorder="1" applyAlignment="1" applyProtection="1">
      <alignment horizontal="center" vertical="center" wrapText="1"/>
      <protection locked="0" hidden="1"/>
    </xf>
    <xf numFmtId="0" fontId="42" fillId="0" borderId="19" xfId="0" applyFont="1" applyBorder="1" applyAlignment="1" applyProtection="1">
      <alignment horizontal="center" vertical="center" wrapText="1"/>
      <protection locked="0"/>
    </xf>
    <xf numFmtId="9" fontId="44" fillId="0" borderId="10" xfId="0" applyNumberFormat="1" applyFont="1" applyBorder="1" applyAlignment="1" applyProtection="1">
      <alignment horizontal="center" vertical="center" wrapText="1"/>
      <protection locked="0"/>
    </xf>
    <xf numFmtId="0" fontId="47" fillId="0" borderId="12"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29" fillId="6" borderId="15" xfId="0" applyFont="1" applyFill="1" applyBorder="1" applyAlignment="1" applyProtection="1">
      <alignment horizontal="center" vertical="center" wrapText="1"/>
      <protection hidden="1"/>
    </xf>
    <xf numFmtId="0" fontId="30" fillId="3" borderId="15" xfId="0" applyFont="1" applyFill="1" applyBorder="1" applyAlignment="1" applyProtection="1">
      <alignment horizontal="center" vertical="center" wrapText="1"/>
      <protection hidden="1"/>
    </xf>
    <xf numFmtId="0" fontId="41" fillId="14" borderId="15" xfId="0" applyFont="1" applyFill="1" applyBorder="1" applyAlignment="1" applyProtection="1">
      <alignment horizontal="center" vertical="center" wrapText="1"/>
      <protection hidden="1"/>
    </xf>
    <xf numFmtId="9" fontId="43" fillId="0" borderId="10" xfId="7" applyFont="1" applyFill="1" applyBorder="1" applyAlignment="1" applyProtection="1">
      <alignment horizontal="center" vertical="center" wrapText="1"/>
      <protection locked="0"/>
    </xf>
    <xf numFmtId="0" fontId="29" fillId="15" borderId="15" xfId="0" applyFont="1" applyFill="1" applyBorder="1" applyAlignment="1" applyProtection="1">
      <alignment horizontal="center" vertical="center" wrapText="1"/>
      <protection hidden="1"/>
    </xf>
    <xf numFmtId="0" fontId="49" fillId="0" borderId="12"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9" fillId="0" borderId="11"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9" fontId="32" fillId="0" borderId="11" xfId="0" applyNumberFormat="1" applyFont="1" applyBorder="1" applyAlignment="1" applyProtection="1">
      <alignment horizontal="center" vertical="center" wrapText="1"/>
      <protection locked="0"/>
    </xf>
    <xf numFmtId="0" fontId="32" fillId="0" borderId="10"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0" xfId="0" applyFont="1" applyBorder="1" applyAlignment="1" applyProtection="1">
      <alignment horizontal="center" vertical="center" wrapText="1"/>
      <protection locked="0" hidden="1"/>
    </xf>
    <xf numFmtId="0" fontId="32" fillId="0" borderId="1" xfId="0" applyFont="1" applyBorder="1" applyAlignment="1" applyProtection="1">
      <alignment horizontal="center" vertical="center" wrapText="1"/>
      <protection locked="0" hidden="1"/>
    </xf>
    <xf numFmtId="0" fontId="32" fillId="0" borderId="11" xfId="0" applyFont="1" applyBorder="1" applyAlignment="1" applyProtection="1">
      <alignment horizontal="center" vertical="center" wrapText="1"/>
      <protection locked="0" hidden="1"/>
    </xf>
    <xf numFmtId="9" fontId="32" fillId="0" borderId="10" xfId="0" applyNumberFormat="1" applyFont="1" applyBorder="1" applyAlignment="1" applyProtection="1">
      <alignment horizontal="center" vertical="center" wrapText="1"/>
      <protection locked="0"/>
    </xf>
    <xf numFmtId="9" fontId="32" fillId="0" borderId="12" xfId="0" applyNumberFormat="1"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39" fillId="0" borderId="12" xfId="0" applyFont="1" applyBorder="1" applyAlignment="1" applyProtection="1">
      <alignment horizontal="center" vertical="center" wrapText="1"/>
      <protection locked="0"/>
    </xf>
    <xf numFmtId="9" fontId="32" fillId="0" borderId="1" xfId="7" applyFont="1" applyBorder="1" applyAlignment="1" applyProtection="1">
      <alignment horizontal="center" vertical="center" wrapText="1"/>
      <protection locked="0"/>
    </xf>
    <xf numFmtId="9" fontId="32" fillId="0" borderId="11" xfId="7" applyFont="1" applyBorder="1" applyAlignment="1" applyProtection="1">
      <alignment horizontal="center" vertical="center" wrapText="1"/>
      <protection locked="0"/>
    </xf>
    <xf numFmtId="9" fontId="32" fillId="0" borderId="12" xfId="7" applyFont="1" applyBorder="1" applyAlignment="1" applyProtection="1">
      <alignment horizontal="center" vertical="center" wrapText="1"/>
      <protection locked="0"/>
    </xf>
    <xf numFmtId="9" fontId="32" fillId="0" borderId="15" xfId="0" applyNumberFormat="1" applyFont="1" applyBorder="1" applyAlignment="1" applyProtection="1">
      <alignment horizontal="center" vertical="center" wrapText="1"/>
      <protection locked="0"/>
    </xf>
    <xf numFmtId="9" fontId="32" fillId="0" borderId="13" xfId="0" applyNumberFormat="1" applyFont="1" applyBorder="1" applyAlignment="1" applyProtection="1">
      <alignment horizontal="center" vertical="center" wrapText="1"/>
      <protection locked="0"/>
    </xf>
    <xf numFmtId="9" fontId="32" fillId="0" borderId="10" xfId="7" applyFont="1" applyBorder="1" applyAlignment="1" applyProtection="1">
      <alignment horizontal="center" vertical="center" wrapText="1"/>
      <protection locked="0"/>
    </xf>
    <xf numFmtId="0" fontId="49" fillId="0" borderId="10" xfId="0" applyFont="1" applyBorder="1" applyAlignment="1" applyProtection="1">
      <alignment horizontal="center" vertical="center" wrapText="1"/>
      <protection locked="0"/>
    </xf>
    <xf numFmtId="14" fontId="38" fillId="0" borderId="15" xfId="0" applyNumberFormat="1" applyFont="1" applyBorder="1" applyAlignment="1" applyProtection="1">
      <alignment horizontal="center" vertical="center" wrapText="1"/>
      <protection locked="0"/>
    </xf>
    <xf numFmtId="14" fontId="38" fillId="0" borderId="2" xfId="0" applyNumberFormat="1" applyFont="1" applyBorder="1" applyAlignment="1" applyProtection="1">
      <alignment horizontal="center" vertical="center" wrapText="1"/>
      <protection locked="0"/>
    </xf>
    <xf numFmtId="14" fontId="38" fillId="0" borderId="13" xfId="0" applyNumberFormat="1" applyFont="1" applyBorder="1" applyAlignment="1" applyProtection="1">
      <alignment horizontal="center" vertical="center" wrapText="1"/>
      <protection locked="0"/>
    </xf>
    <xf numFmtId="0" fontId="38" fillId="0" borderId="15" xfId="0" quotePrefix="1" applyFont="1" applyBorder="1" applyAlignment="1" applyProtection="1">
      <alignment horizontal="center" vertical="center" wrapText="1"/>
      <protection locked="0"/>
    </xf>
    <xf numFmtId="0" fontId="38" fillId="0" borderId="2" xfId="0" quotePrefix="1" applyFont="1" applyBorder="1" applyAlignment="1" applyProtection="1">
      <alignment horizontal="center" vertical="center" wrapText="1"/>
      <protection locked="0"/>
    </xf>
    <xf numFmtId="0" fontId="38" fillId="0" borderId="13" xfId="0" quotePrefix="1" applyFont="1" applyBorder="1" applyAlignment="1" applyProtection="1">
      <alignment horizontal="center"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38" fillId="0" borderId="15"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hidden="1"/>
    </xf>
    <xf numFmtId="0" fontId="7" fillId="0" borderId="2" xfId="0" applyFont="1" applyBorder="1" applyAlignment="1" applyProtection="1">
      <alignment horizontal="center" vertical="center" wrapText="1"/>
      <protection locked="0" hidden="1"/>
    </xf>
    <xf numFmtId="0" fontId="7" fillId="0" borderId="13" xfId="0" applyFont="1" applyBorder="1" applyAlignment="1" applyProtection="1">
      <alignment horizontal="center" vertical="center" wrapText="1"/>
      <protection locked="0" hidden="1"/>
    </xf>
    <xf numFmtId="9" fontId="32" fillId="0" borderId="2" xfId="0" applyNumberFormat="1" applyFont="1" applyBorder="1" applyAlignment="1" applyProtection="1">
      <alignment horizontal="center" vertical="center" wrapText="1"/>
      <protection locked="0"/>
    </xf>
    <xf numFmtId="14" fontId="38" fillId="0" borderId="15" xfId="0" applyNumberFormat="1" applyFont="1" applyBorder="1" applyAlignment="1" applyProtection="1">
      <alignment horizontal="center" vertical="center"/>
      <protection locked="0"/>
    </xf>
    <xf numFmtId="14" fontId="38" fillId="0" borderId="2" xfId="0" applyNumberFormat="1" applyFont="1" applyBorder="1" applyAlignment="1" applyProtection="1">
      <alignment horizontal="center" vertical="center"/>
      <protection locked="0"/>
    </xf>
    <xf numFmtId="14" fontId="38" fillId="0" borderId="13" xfId="0" applyNumberFormat="1" applyFont="1" applyBorder="1" applyAlignment="1" applyProtection="1">
      <alignment horizontal="center" vertical="center"/>
      <protection locked="0"/>
    </xf>
    <xf numFmtId="0" fontId="7" fillId="0" borderId="23" xfId="0" applyFont="1" applyBorder="1" applyAlignment="1" applyProtection="1">
      <alignment horizontal="center" vertical="center" wrapText="1"/>
      <protection locked="0" hidden="1"/>
    </xf>
    <xf numFmtId="0" fontId="49" fillId="0" borderId="15"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13" xfId="0" applyFont="1" applyBorder="1" applyAlignment="1" applyProtection="1">
      <alignment horizontal="center" vertical="center" wrapText="1"/>
      <protection locked="0"/>
    </xf>
    <xf numFmtId="0" fontId="7" fillId="0" borderId="15" xfId="0" quotePrefix="1" applyFont="1" applyBorder="1" applyAlignment="1" applyProtection="1">
      <alignment horizontal="center" vertical="center" wrapText="1"/>
      <protection hidden="1"/>
    </xf>
    <xf numFmtId="0" fontId="7" fillId="0" borderId="2" xfId="0" quotePrefix="1" applyFont="1" applyBorder="1" applyAlignment="1" applyProtection="1">
      <alignment horizontal="center" vertical="center" wrapText="1"/>
      <protection hidden="1"/>
    </xf>
    <xf numFmtId="0" fontId="7" fillId="0" borderId="13" xfId="0" quotePrefix="1" applyFont="1" applyBorder="1" applyAlignment="1" applyProtection="1">
      <alignment horizontal="center" vertical="center" wrapText="1"/>
      <protection hidden="1"/>
    </xf>
    <xf numFmtId="9" fontId="32" fillId="0" borderId="15" xfId="7" applyFont="1" applyFill="1" applyBorder="1" applyAlignment="1" applyProtection="1">
      <alignment horizontal="center" vertical="center" wrapText="1"/>
      <protection locked="0"/>
    </xf>
    <xf numFmtId="9" fontId="32" fillId="0" borderId="2" xfId="7" applyFont="1" applyFill="1" applyBorder="1" applyAlignment="1" applyProtection="1">
      <alignment horizontal="center" vertical="center" wrapText="1"/>
      <protection locked="0"/>
    </xf>
    <xf numFmtId="0" fontId="66" fillId="0" borderId="15" xfId="0" applyFont="1" applyBorder="1" applyAlignment="1" applyProtection="1">
      <alignment horizontal="center" vertical="center" wrapText="1"/>
      <protection locked="0"/>
    </xf>
    <xf numFmtId="0" fontId="66" fillId="0" borderId="2" xfId="0" applyFont="1" applyBorder="1" applyAlignment="1" applyProtection="1">
      <alignment horizontal="center" vertical="center" wrapText="1"/>
      <protection locked="0"/>
    </xf>
    <xf numFmtId="0" fontId="66" fillId="0" borderId="13" xfId="0" applyFont="1" applyBorder="1" applyAlignment="1" applyProtection="1">
      <alignment horizontal="center" vertical="center" wrapText="1"/>
      <protection locked="0"/>
    </xf>
    <xf numFmtId="9" fontId="32" fillId="0" borderId="13" xfId="7" applyFont="1" applyFill="1" applyBorder="1" applyAlignment="1" applyProtection="1">
      <alignment horizontal="center" vertical="center" wrapText="1"/>
      <protection locked="0"/>
    </xf>
    <xf numFmtId="9" fontId="38" fillId="0" borderId="10" xfId="7" applyFont="1" applyBorder="1" applyAlignment="1" applyProtection="1">
      <alignment horizontal="center" vertical="center" wrapText="1"/>
      <protection locked="0"/>
    </xf>
    <xf numFmtId="9" fontId="38" fillId="0" borderId="11" xfId="7" applyFont="1" applyBorder="1" applyAlignment="1" applyProtection="1">
      <alignment horizontal="center" vertical="center" wrapText="1"/>
      <protection locked="0"/>
    </xf>
    <xf numFmtId="9" fontId="38" fillId="0" borderId="15" xfId="7" applyFont="1" applyBorder="1" applyAlignment="1" applyProtection="1">
      <alignment horizontal="center" vertical="center" wrapText="1"/>
      <protection locked="0"/>
    </xf>
    <xf numFmtId="9" fontId="38" fillId="0" borderId="2" xfId="7" applyFont="1" applyBorder="1" applyAlignment="1" applyProtection="1">
      <alignment horizontal="center" vertical="center" wrapText="1"/>
      <protection locked="0"/>
    </xf>
    <xf numFmtId="9" fontId="38" fillId="0" borderId="13" xfId="7" applyFont="1" applyBorder="1" applyAlignment="1" applyProtection="1">
      <alignment horizontal="center" vertical="center" wrapText="1"/>
      <protection locked="0"/>
    </xf>
    <xf numFmtId="0" fontId="66" fillId="0" borderId="10" xfId="0" applyFont="1" applyBorder="1" applyAlignment="1" applyProtection="1">
      <alignment horizontal="center" vertical="center" wrapText="1"/>
      <protection locked="0"/>
    </xf>
    <xf numFmtId="0" fontId="66" fillId="0" borderId="11"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hidden="1"/>
    </xf>
    <xf numFmtId="0" fontId="7" fillId="0" borderId="11" xfId="0" applyFont="1" applyBorder="1" applyAlignment="1" applyProtection="1">
      <alignment horizontal="left" vertical="center" wrapText="1"/>
      <protection locked="0" hidden="1"/>
    </xf>
    <xf numFmtId="0" fontId="49" fillId="0" borderId="2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hidden="1"/>
    </xf>
    <xf numFmtId="0" fontId="7" fillId="0" borderId="11" xfId="0" applyFont="1" applyBorder="1" applyAlignment="1" applyProtection="1">
      <alignment horizontal="center" vertical="center" wrapText="1"/>
      <protection locked="0" hidden="1"/>
    </xf>
    <xf numFmtId="0" fontId="42" fillId="0" borderId="12" xfId="0" applyFont="1" applyBorder="1" applyAlignment="1" applyProtection="1">
      <alignment horizontal="center" vertical="center" wrapText="1"/>
      <protection locked="0"/>
    </xf>
    <xf numFmtId="0" fontId="44" fillId="0" borderId="10" xfId="0" applyFont="1" applyBorder="1" applyAlignment="1" applyProtection="1">
      <alignment vertical="center" wrapText="1"/>
      <protection locked="0"/>
    </xf>
    <xf numFmtId="0" fontId="44" fillId="0" borderId="11" xfId="0" applyFont="1" applyBorder="1" applyAlignment="1" applyProtection="1">
      <alignment vertical="center" wrapText="1"/>
      <protection locked="0"/>
    </xf>
    <xf numFmtId="0" fontId="43" fillId="0" borderId="1" xfId="0" applyFont="1" applyBorder="1" applyAlignment="1" applyProtection="1">
      <alignment vertical="center" wrapText="1"/>
      <protection locked="0"/>
    </xf>
    <xf numFmtId="0" fontId="43" fillId="0" borderId="11" xfId="0" applyFont="1" applyBorder="1" applyAlignment="1" applyProtection="1">
      <alignment vertical="center" wrapText="1"/>
      <protection locked="0"/>
    </xf>
    <xf numFmtId="9" fontId="44" fillId="0" borderId="23" xfId="7" applyFont="1" applyBorder="1" applyAlignment="1" applyProtection="1">
      <alignment horizontal="center" vertical="center" wrapText="1"/>
      <protection locked="0"/>
    </xf>
    <xf numFmtId="9" fontId="44" fillId="0" borderId="13" xfId="7" applyFont="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9" fontId="44" fillId="0" borderId="10" xfId="7" applyFont="1" applyFill="1" applyBorder="1" applyAlignment="1" applyProtection="1">
      <alignment horizontal="center" vertical="center" wrapText="1"/>
      <protection locked="0"/>
    </xf>
    <xf numFmtId="0" fontId="32" fillId="4" borderId="10" xfId="0" applyFont="1" applyFill="1" applyBorder="1" applyAlignment="1" applyProtection="1">
      <alignment horizontal="center" vertical="center" wrapText="1"/>
      <protection locked="0"/>
    </xf>
    <xf numFmtId="0" fontId="32" fillId="4" borderId="11" xfId="0"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9" fontId="23" fillId="0" borderId="10" xfId="6" applyFont="1" applyFill="1" applyBorder="1" applyAlignment="1" applyProtection="1">
      <alignment horizontal="center" vertical="center" wrapText="1"/>
      <protection locked="0"/>
    </xf>
    <xf numFmtId="9" fontId="23" fillId="0" borderId="11" xfId="6" applyFont="1" applyFill="1" applyBorder="1" applyAlignment="1" applyProtection="1">
      <alignment horizontal="center" vertical="center" wrapText="1"/>
      <protection locked="0"/>
    </xf>
    <xf numFmtId="9" fontId="23" fillId="0" borderId="10" xfId="6" applyFont="1" applyBorder="1" applyAlignment="1" applyProtection="1">
      <alignment horizontal="center" vertical="center" wrapText="1"/>
      <protection locked="0"/>
    </xf>
    <xf numFmtId="9" fontId="23" fillId="0" borderId="11" xfId="6" applyFont="1" applyBorder="1" applyAlignment="1" applyProtection="1">
      <alignment horizontal="center" vertical="center" wrapText="1"/>
      <protection locked="0"/>
    </xf>
    <xf numFmtId="9" fontId="23" fillId="0" borderId="10" xfId="7" applyFont="1" applyBorder="1" applyAlignment="1" applyProtection="1">
      <alignment horizontal="center" vertical="center" wrapText="1"/>
      <protection locked="0"/>
    </xf>
    <xf numFmtId="9" fontId="23" fillId="0" borderId="1" xfId="7" applyFont="1" applyBorder="1" applyAlignment="1" applyProtection="1">
      <alignment horizontal="center" vertical="center" wrapText="1"/>
      <protection locked="0"/>
    </xf>
    <xf numFmtId="9" fontId="23" fillId="0" borderId="11" xfId="7" applyFont="1" applyBorder="1" applyAlignment="1" applyProtection="1">
      <alignment horizontal="center" vertical="center" wrapText="1"/>
      <protection locked="0"/>
    </xf>
    <xf numFmtId="9" fontId="25" fillId="0" borderId="10" xfId="7" applyFont="1" applyFill="1" applyBorder="1" applyAlignment="1" applyProtection="1">
      <alignment horizontal="center" vertical="center" wrapText="1"/>
      <protection locked="0"/>
    </xf>
    <xf numFmtId="9" fontId="25" fillId="0" borderId="11" xfId="7" applyFont="1" applyFill="1" applyBorder="1" applyAlignment="1" applyProtection="1">
      <alignment horizontal="center" vertical="center" wrapText="1"/>
      <protection locked="0"/>
    </xf>
    <xf numFmtId="9" fontId="25" fillId="0" borderId="1" xfId="7" applyFont="1" applyFill="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41" fillId="0" borderId="1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7" fillId="0" borderId="23" xfId="0" applyFont="1" applyFill="1" applyBorder="1" applyAlignment="1" applyProtection="1">
      <alignment horizontal="justify" vertical="center" wrapText="1"/>
      <protection locked="0"/>
    </xf>
    <xf numFmtId="0" fontId="7" fillId="0" borderId="12" xfId="0" applyFont="1" applyFill="1" applyBorder="1" applyAlignment="1" applyProtection="1">
      <alignment horizontal="justify" vertical="center" wrapText="1"/>
      <protection locked="0"/>
    </xf>
    <xf numFmtId="0" fontId="32" fillId="8" borderId="1" xfId="0" applyFont="1" applyFill="1" applyBorder="1" applyAlignment="1" applyProtection="1">
      <alignment horizontal="center" vertical="center" wrapText="1"/>
      <protection locked="0"/>
    </xf>
    <xf numFmtId="0" fontId="32" fillId="8" borderId="11" xfId="0" applyFont="1" applyFill="1" applyBorder="1" applyAlignment="1" applyProtection="1">
      <alignment horizontal="center" vertical="center" wrapText="1"/>
      <protection locked="0"/>
    </xf>
    <xf numFmtId="0" fontId="41" fillId="8" borderId="1" xfId="0" applyFont="1" applyFill="1" applyBorder="1" applyAlignment="1" applyProtection="1">
      <alignment horizontal="center" vertical="center" wrapText="1"/>
      <protection locked="0"/>
    </xf>
    <xf numFmtId="0" fontId="41" fillId="8" borderId="11" xfId="0" applyFont="1" applyFill="1" applyBorder="1" applyAlignment="1" applyProtection="1">
      <alignment horizontal="center" vertical="center" wrapText="1"/>
      <protection locked="0"/>
    </xf>
    <xf numFmtId="0" fontId="0" fillId="0" borderId="10" xfId="0" applyBorder="1" applyAlignment="1">
      <alignment horizontal="center" vertical="center"/>
    </xf>
    <xf numFmtId="0" fontId="0" fillId="0" borderId="11" xfId="0" applyBorder="1" applyAlignment="1">
      <alignment horizontal="center" vertical="center"/>
    </xf>
    <xf numFmtId="166" fontId="32" fillId="8" borderId="1" xfId="0" applyNumberFormat="1" applyFont="1" applyFill="1" applyBorder="1" applyAlignment="1" applyProtection="1">
      <alignment horizontal="center" vertical="center" wrapText="1"/>
      <protection locked="0" hidden="1"/>
    </xf>
    <xf numFmtId="0" fontId="32" fillId="8" borderId="1" xfId="0" applyFont="1" applyFill="1" applyBorder="1" applyAlignment="1" applyProtection="1">
      <alignment horizontal="center" vertical="center" wrapText="1"/>
      <protection locked="0" hidden="1"/>
    </xf>
    <xf numFmtId="9" fontId="36" fillId="0" borderId="10" xfId="7" applyFont="1" applyFill="1" applyBorder="1" applyAlignment="1" applyProtection="1">
      <alignment horizontal="left" vertical="center" wrapText="1"/>
      <protection locked="0"/>
    </xf>
    <xf numFmtId="9" fontId="36" fillId="0" borderId="1" xfId="7" applyFont="1" applyFill="1" applyBorder="1" applyAlignment="1" applyProtection="1">
      <alignment horizontal="left" vertical="center" wrapText="1"/>
      <protection locked="0"/>
    </xf>
    <xf numFmtId="9" fontId="36" fillId="0" borderId="11" xfId="7" applyFont="1" applyFill="1" applyBorder="1" applyAlignment="1" applyProtection="1">
      <alignment horizontal="left" vertical="center" wrapText="1"/>
      <protection locked="0"/>
    </xf>
    <xf numFmtId="0" fontId="36" fillId="0" borderId="10" xfId="0" applyFont="1" applyBorder="1" applyAlignment="1" applyProtection="1">
      <alignment horizontal="center" vertical="center" wrapText="1"/>
      <protection hidden="1"/>
    </xf>
    <xf numFmtId="0" fontId="36" fillId="0" borderId="1" xfId="0" applyFont="1" applyBorder="1" applyAlignment="1" applyProtection="1">
      <alignment horizontal="center" vertical="center" wrapText="1"/>
      <protection hidden="1"/>
    </xf>
    <xf numFmtId="0" fontId="36" fillId="0" borderId="11" xfId="0" applyFont="1" applyBorder="1" applyAlignment="1" applyProtection="1">
      <alignment horizontal="center" vertical="center" wrapText="1"/>
      <protection hidden="1"/>
    </xf>
    <xf numFmtId="0" fontId="33" fillId="0" borderId="10"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3" fillId="0" borderId="10"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11" xfId="0" applyFont="1" applyBorder="1" applyAlignment="1" applyProtection="1">
      <alignment horizontal="left" vertical="center" wrapText="1"/>
      <protection locked="0"/>
    </xf>
    <xf numFmtId="0" fontId="33" fillId="0" borderId="10" xfId="0" applyFont="1" applyBorder="1" applyAlignment="1" applyProtection="1">
      <alignment horizontal="center" vertical="center" wrapText="1"/>
      <protection locked="0" hidden="1"/>
    </xf>
    <xf numFmtId="0" fontId="33" fillId="0" borderId="1" xfId="0" applyFont="1" applyBorder="1" applyAlignment="1" applyProtection="1">
      <alignment horizontal="center" vertical="center" wrapText="1"/>
      <protection locked="0" hidden="1"/>
    </xf>
    <xf numFmtId="0" fontId="33" fillId="0" borderId="11" xfId="0" applyFont="1" applyBorder="1" applyAlignment="1" applyProtection="1">
      <alignment horizontal="center" vertical="center" wrapText="1"/>
      <protection locked="0" hidden="1"/>
    </xf>
    <xf numFmtId="0" fontId="54" fillId="0" borderId="10" xfId="0" applyFont="1" applyBorder="1" applyAlignment="1" applyProtection="1">
      <alignment horizontal="center" vertical="center" wrapText="1"/>
      <protection locked="0"/>
    </xf>
    <xf numFmtId="0" fontId="54" fillId="0" borderId="1" xfId="0" applyFont="1" applyBorder="1" applyAlignment="1" applyProtection="1">
      <alignment horizontal="center" vertical="center" wrapText="1"/>
      <protection locked="0"/>
    </xf>
    <xf numFmtId="0" fontId="54" fillId="0" borderId="11" xfId="0" applyFont="1" applyBorder="1" applyAlignment="1" applyProtection="1">
      <alignment horizontal="center" vertical="center" wrapText="1"/>
      <protection locked="0"/>
    </xf>
    <xf numFmtId="0" fontId="33" fillId="0" borderId="10" xfId="0" applyFont="1" applyBorder="1" applyAlignment="1" applyProtection="1">
      <alignment horizontal="center" vertical="center" wrapText="1"/>
      <protection hidden="1"/>
    </xf>
    <xf numFmtId="0" fontId="33" fillId="0" borderId="1" xfId="0" applyFont="1" applyBorder="1" applyAlignment="1" applyProtection="1">
      <alignment horizontal="center" vertical="center" wrapText="1"/>
      <protection hidden="1"/>
    </xf>
    <xf numFmtId="0" fontId="33" fillId="0" borderId="11" xfId="0" applyFont="1" applyBorder="1" applyAlignment="1" applyProtection="1">
      <alignment horizontal="center" vertical="center" wrapText="1"/>
      <protection hidden="1"/>
    </xf>
    <xf numFmtId="0" fontId="50" fillId="0" borderId="23" xfId="0" applyFont="1" applyBorder="1" applyAlignment="1" applyProtection="1">
      <alignment horizontal="center" vertical="center" wrapText="1"/>
      <protection locked="0"/>
    </xf>
    <xf numFmtId="0" fontId="50" fillId="0" borderId="13" xfId="0" applyFont="1" applyBorder="1" applyAlignment="1" applyProtection="1">
      <alignment horizontal="center" vertical="center" wrapText="1"/>
      <protection locked="0"/>
    </xf>
    <xf numFmtId="0" fontId="50" fillId="0" borderId="10" xfId="0" applyFont="1" applyBorder="1" applyAlignment="1" applyProtection="1">
      <alignment horizontal="center" vertical="center" wrapText="1"/>
      <protection locked="0"/>
    </xf>
    <xf numFmtId="0" fontId="50" fillId="0" borderId="11" xfId="0" applyFont="1" applyBorder="1" applyAlignment="1" applyProtection="1">
      <alignment horizontal="center" vertical="center" wrapText="1"/>
      <protection locked="0"/>
    </xf>
    <xf numFmtId="0" fontId="50" fillId="0" borderId="10" xfId="0" applyFont="1" applyBorder="1" applyAlignment="1" applyProtection="1">
      <alignment horizontal="center" vertical="center" wrapText="1"/>
      <protection locked="0" hidden="1"/>
    </xf>
    <xf numFmtId="0" fontId="50" fillId="0" borderId="11" xfId="0" applyFont="1" applyBorder="1" applyAlignment="1" applyProtection="1">
      <alignment horizontal="center" vertical="center" wrapText="1"/>
      <protection locked="0" hidden="1"/>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62" fillId="0" borderId="10" xfId="0" applyFont="1" applyBorder="1" applyAlignment="1">
      <alignment horizontal="center" vertical="center"/>
    </xf>
    <xf numFmtId="0" fontId="62" fillId="0" borderId="11" xfId="0" applyFont="1" applyBorder="1" applyAlignment="1">
      <alignment horizontal="center" vertical="center"/>
    </xf>
    <xf numFmtId="9" fontId="23" fillId="0" borderId="10" xfId="7" applyFont="1" applyBorder="1" applyAlignment="1">
      <alignment horizontal="center" vertical="center"/>
    </xf>
    <xf numFmtId="9" fontId="23" fillId="0" borderId="11" xfId="7" applyFont="1" applyBorder="1" applyAlignment="1">
      <alignment horizontal="center" vertical="center"/>
    </xf>
    <xf numFmtId="0" fontId="36" fillId="0" borderId="10" xfId="0" applyFont="1" applyBorder="1" applyAlignment="1">
      <alignment horizontal="center" vertical="center" wrapText="1"/>
    </xf>
    <xf numFmtId="0" fontId="36" fillId="0" borderId="1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xf>
    <xf numFmtId="9" fontId="23" fillId="0" borderId="1" xfId="7" applyFont="1" applyBorder="1" applyAlignment="1">
      <alignment horizontal="center" vertical="center"/>
    </xf>
    <xf numFmtId="9" fontId="23" fillId="0" borderId="1" xfId="7" applyFont="1" applyBorder="1" applyAlignment="1">
      <alignment horizontal="center" vertical="center" wrapText="1"/>
    </xf>
    <xf numFmtId="9" fontId="23" fillId="0" borderId="11" xfId="7" applyFont="1" applyBorder="1" applyAlignment="1">
      <alignment horizontal="center" vertical="center" wrapText="1"/>
    </xf>
    <xf numFmtId="9" fontId="50" fillId="0" borderId="10" xfId="7" applyFont="1" applyBorder="1" applyAlignment="1" applyProtection="1">
      <alignment horizontal="center" vertical="center" wrapText="1"/>
      <protection locked="0"/>
    </xf>
    <xf numFmtId="9" fontId="50" fillId="0" borderId="11" xfId="7" applyFont="1" applyBorder="1" applyAlignment="1" applyProtection="1">
      <alignment horizontal="center" vertical="center" wrapText="1"/>
      <protection locked="0"/>
    </xf>
    <xf numFmtId="9" fontId="50" fillId="0" borderId="1" xfId="7" applyFont="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9" fontId="0" fillId="0" borderId="10" xfId="0" applyNumberFormat="1" applyBorder="1" applyAlignment="1">
      <alignment horizontal="center" vertical="center"/>
    </xf>
    <xf numFmtId="9" fontId="0" fillId="0" borderId="11" xfId="0" applyNumberFormat="1" applyBorder="1" applyAlignment="1">
      <alignment horizontal="center" vertical="center"/>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50" fillId="0" borderId="1" xfId="0" applyFont="1" applyBorder="1" applyAlignment="1" applyProtection="1">
      <alignment horizontal="center" vertical="center" wrapText="1"/>
      <protection locked="0" hidden="1"/>
    </xf>
    <xf numFmtId="0" fontId="50" fillId="8" borderId="10" xfId="0" applyFont="1" applyFill="1" applyBorder="1" applyAlignment="1" applyProtection="1">
      <alignment horizontal="center" vertical="center" wrapText="1"/>
      <protection locked="0"/>
    </xf>
    <xf numFmtId="0" fontId="50" fillId="8" borderId="11" xfId="0" applyFont="1" applyFill="1" applyBorder="1" applyAlignment="1" applyProtection="1">
      <alignment horizontal="center" vertical="center" wrapText="1"/>
      <protection locked="0"/>
    </xf>
    <xf numFmtId="0" fontId="50" fillId="8" borderId="10" xfId="0" applyFont="1" applyFill="1" applyBorder="1" applyAlignment="1" applyProtection="1">
      <alignment horizontal="center" vertical="center" wrapText="1"/>
      <protection locked="0" hidden="1"/>
    </xf>
    <xf numFmtId="0" fontId="50" fillId="8" borderId="11" xfId="0" applyFont="1" applyFill="1" applyBorder="1" applyAlignment="1" applyProtection="1">
      <alignment horizontal="center" vertical="center" wrapText="1"/>
      <protection locked="0" hidden="1"/>
    </xf>
    <xf numFmtId="0" fontId="50" fillId="4" borderId="10" xfId="0" applyFont="1" applyFill="1" applyBorder="1" applyAlignment="1" applyProtection="1">
      <alignment horizontal="center" vertical="center" wrapText="1"/>
      <protection locked="0"/>
    </xf>
    <xf numFmtId="0" fontId="50" fillId="4" borderId="1" xfId="0" applyFont="1" applyFill="1" applyBorder="1" applyAlignment="1" applyProtection="1">
      <alignment horizontal="center" vertical="center" wrapText="1"/>
      <protection locked="0"/>
    </xf>
    <xf numFmtId="0" fontId="50" fillId="4" borderId="11" xfId="0" applyFont="1" applyFill="1" applyBorder="1" applyAlignment="1" applyProtection="1">
      <alignment horizontal="center" vertical="center" wrapText="1"/>
      <protection locked="0"/>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0" fillId="0" borderId="11" xfId="0" applyBorder="1" applyAlignment="1">
      <alignment horizontal="left" vertical="center" wrapText="1"/>
    </xf>
    <xf numFmtId="0" fontId="42" fillId="0" borderId="2" xfId="0" applyFont="1" applyBorder="1" applyAlignment="1" applyProtection="1">
      <alignment horizontal="center" vertical="center" wrapText="1"/>
      <protection locked="0"/>
    </xf>
    <xf numFmtId="9" fontId="44" fillId="0" borderId="2" xfId="0" applyNumberFormat="1" applyFont="1" applyBorder="1" applyAlignment="1" applyProtection="1">
      <alignment horizontal="center" vertical="center" wrapText="1"/>
      <protection locked="0"/>
    </xf>
    <xf numFmtId="9" fontId="44" fillId="0" borderId="13" xfId="0" applyNumberFormat="1" applyFont="1" applyBorder="1" applyAlignment="1" applyProtection="1">
      <alignment horizontal="center" vertical="center" wrapText="1"/>
      <protection locked="0"/>
    </xf>
    <xf numFmtId="9" fontId="23" fillId="0" borderId="12" xfId="8" applyFont="1" applyFill="1" applyBorder="1" applyAlignment="1" applyProtection="1">
      <alignment horizontal="left" vertical="center" wrapText="1"/>
      <protection locked="0"/>
    </xf>
    <xf numFmtId="9" fontId="23" fillId="0" borderId="11" xfId="8" applyFont="1" applyFill="1" applyBorder="1" applyAlignment="1" applyProtection="1">
      <alignment horizontal="left" vertical="center" wrapText="1"/>
      <protection locked="0"/>
    </xf>
    <xf numFmtId="0" fontId="37" fillId="0" borderId="12"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hidden="1"/>
    </xf>
    <xf numFmtId="0" fontId="32" fillId="0" borderId="11" xfId="0" applyFont="1" applyBorder="1" applyAlignment="1" applyProtection="1">
      <alignment horizontal="center" vertical="center" wrapText="1"/>
      <protection hidden="1"/>
    </xf>
    <xf numFmtId="0" fontId="32" fillId="0" borderId="12" xfId="0" applyFont="1" applyBorder="1" applyAlignment="1" applyProtection="1">
      <alignment horizontal="center" vertical="center" wrapText="1"/>
      <protection locked="0" hidden="1"/>
    </xf>
    <xf numFmtId="9" fontId="44" fillId="0" borderId="15" xfId="0" applyNumberFormat="1" applyFont="1" applyBorder="1" applyAlignment="1" applyProtection="1">
      <alignment horizontal="center" vertical="center" wrapText="1"/>
      <protection locked="0"/>
    </xf>
    <xf numFmtId="0" fontId="37" fillId="0" borderId="26" xfId="0" applyFont="1" applyBorder="1" applyAlignment="1" applyProtection="1">
      <alignment horizontal="center" vertical="center" wrapText="1"/>
      <protection locked="0"/>
    </xf>
    <xf numFmtId="0" fontId="37" fillId="0" borderId="7" xfId="0" applyFont="1"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9" fontId="23" fillId="0" borderId="10" xfId="8" applyFont="1" applyFill="1" applyBorder="1" applyAlignment="1" applyProtection="1">
      <alignment horizontal="left" vertical="center" wrapText="1"/>
      <protection locked="0"/>
    </xf>
    <xf numFmtId="0" fontId="42" fillId="0" borderId="35" xfId="0" applyFont="1" applyBorder="1" applyAlignment="1" applyProtection="1">
      <alignment horizontal="center" vertical="center" wrapText="1"/>
      <protection locked="0"/>
    </xf>
    <xf numFmtId="0" fontId="42" fillId="0" borderId="6" xfId="0" applyFont="1" applyBorder="1" applyAlignment="1" applyProtection="1">
      <alignment horizontal="center" vertical="center" wrapText="1"/>
      <protection locked="0"/>
    </xf>
    <xf numFmtId="0" fontId="42" fillId="0" borderId="47" xfId="0" applyFont="1" applyBorder="1" applyAlignment="1" applyProtection="1">
      <alignment horizontal="center" vertical="center" wrapText="1"/>
      <protection locked="0"/>
    </xf>
    <xf numFmtId="9" fontId="44" fillId="0" borderId="12" xfId="7" applyFont="1" applyBorder="1" applyAlignment="1" applyProtection="1">
      <alignment horizontal="center" vertical="center" wrapText="1"/>
      <protection locked="0"/>
    </xf>
    <xf numFmtId="9" fontId="44" fillId="0" borderId="23" xfId="6" applyFont="1" applyBorder="1" applyAlignment="1" applyProtection="1">
      <alignment horizontal="center" vertical="center" wrapText="1"/>
      <protection locked="0"/>
    </xf>
    <xf numFmtId="9" fontId="44" fillId="0" borderId="13" xfId="6" applyFont="1" applyBorder="1" applyAlignment="1" applyProtection="1">
      <alignment horizontal="center" vertical="center" wrapText="1"/>
      <protection locked="0"/>
    </xf>
    <xf numFmtId="9" fontId="42" fillId="0" borderId="12" xfId="7" applyFont="1" applyBorder="1" applyAlignment="1" applyProtection="1">
      <alignment horizontal="center" vertical="center" wrapText="1"/>
      <protection locked="0"/>
    </xf>
    <xf numFmtId="9" fontId="42" fillId="0" borderId="23" xfId="7" applyFont="1" applyBorder="1" applyAlignment="1" applyProtection="1">
      <alignment horizontal="center" vertical="center" wrapText="1"/>
      <protection locked="0"/>
    </xf>
    <xf numFmtId="9" fontId="42" fillId="0" borderId="13" xfId="7" applyFont="1" applyBorder="1" applyAlignment="1" applyProtection="1">
      <alignment horizontal="center" vertical="center" wrapText="1"/>
      <protection locked="0"/>
    </xf>
    <xf numFmtId="0" fontId="42" fillId="0" borderId="23" xfId="0" applyFont="1" applyBorder="1" applyAlignment="1" applyProtection="1">
      <alignment horizontal="center" vertical="center" wrapText="1"/>
      <protection locked="0"/>
    </xf>
    <xf numFmtId="0" fontId="44" fillId="0" borderId="23"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2" fillId="0" borderId="41" xfId="0" applyFont="1" applyBorder="1" applyAlignment="1" applyProtection="1">
      <alignment horizontal="center" vertical="center" wrapText="1"/>
      <protection locked="0"/>
    </xf>
    <xf numFmtId="0" fontId="44" fillId="0" borderId="23" xfId="0" applyFont="1" applyBorder="1" applyAlignment="1" applyProtection="1">
      <alignment horizontal="left" vertical="center" wrapText="1"/>
      <protection locked="0" hidden="1"/>
    </xf>
    <xf numFmtId="0" fontId="44" fillId="0" borderId="13" xfId="0" applyFont="1" applyBorder="1" applyAlignment="1" applyProtection="1">
      <alignment horizontal="left" vertical="center" wrapText="1"/>
      <protection locked="0" hidden="1"/>
    </xf>
    <xf numFmtId="0" fontId="42" fillId="0" borderId="26" xfId="0" applyFont="1" applyBorder="1" applyAlignment="1" applyProtection="1">
      <alignment horizontal="center" vertical="center" wrapText="1"/>
      <protection locked="0"/>
    </xf>
    <xf numFmtId="0" fontId="42" fillId="0" borderId="7" xfId="0" applyFont="1" applyBorder="1" applyAlignment="1" applyProtection="1">
      <alignment horizontal="center" vertical="center" wrapText="1"/>
      <protection locked="0"/>
    </xf>
    <xf numFmtId="0" fontId="44" fillId="0" borderId="23" xfId="0" applyFont="1" applyBorder="1" applyAlignment="1" applyProtection="1">
      <alignment horizontal="center" vertical="center" wrapText="1"/>
      <protection locked="0" hidden="1"/>
    </xf>
    <xf numFmtId="0" fontId="44" fillId="0" borderId="13" xfId="0" applyFont="1" applyBorder="1" applyAlignment="1" applyProtection="1">
      <alignment horizontal="center" vertical="center" wrapText="1"/>
      <protection locked="0" hidden="1"/>
    </xf>
    <xf numFmtId="9" fontId="44" fillId="0" borderId="10" xfId="7" applyFont="1" applyBorder="1" applyAlignment="1" applyProtection="1">
      <alignment horizontal="center" vertical="center" wrapText="1"/>
      <protection hidden="1"/>
    </xf>
    <xf numFmtId="9" fontId="44" fillId="0" borderId="11" xfId="7" applyFont="1" applyBorder="1" applyAlignment="1" applyProtection="1">
      <alignment horizontal="center" vertical="center" wrapText="1"/>
      <protection hidden="1"/>
    </xf>
    <xf numFmtId="9" fontId="43" fillId="0" borderId="15" xfId="7" applyFont="1" applyFill="1" applyBorder="1" applyAlignment="1" applyProtection="1">
      <alignment horizontal="center" vertical="center" wrapText="1"/>
      <protection locked="0"/>
    </xf>
    <xf numFmtId="9" fontId="43" fillId="0" borderId="2" xfId="7" applyFont="1" applyFill="1" applyBorder="1" applyAlignment="1" applyProtection="1">
      <alignment horizontal="center" vertical="center" wrapText="1"/>
      <protection locked="0"/>
    </xf>
    <xf numFmtId="9" fontId="43" fillId="0" borderId="13" xfId="7" applyFont="1" applyFill="1" applyBorder="1" applyAlignment="1" applyProtection="1">
      <alignment horizontal="center" vertical="center" wrapText="1"/>
      <protection locked="0"/>
    </xf>
    <xf numFmtId="9" fontId="44" fillId="0" borderId="15" xfId="7" applyFont="1" applyBorder="1" applyAlignment="1" applyProtection="1">
      <alignment horizontal="center" vertical="center" wrapText="1"/>
      <protection locked="0"/>
    </xf>
    <xf numFmtId="9" fontId="44" fillId="0" borderId="2" xfId="7" applyFont="1" applyBorder="1" applyAlignment="1" applyProtection="1">
      <alignment horizontal="center" vertical="center" wrapText="1"/>
      <protection locked="0"/>
    </xf>
    <xf numFmtId="0" fontId="43" fillId="0" borderId="23" xfId="0" applyFont="1" applyFill="1" applyBorder="1" applyAlignment="1" applyProtection="1">
      <alignment horizontal="center" vertical="center" wrapText="1"/>
      <protection locked="0" hidden="1"/>
    </xf>
    <xf numFmtId="0" fontId="43" fillId="0" borderId="13" xfId="0" applyFont="1" applyFill="1" applyBorder="1" applyAlignment="1" applyProtection="1">
      <alignment horizontal="center" vertical="center" wrapText="1"/>
      <protection locked="0" hidden="1"/>
    </xf>
    <xf numFmtId="0" fontId="44" fillId="0" borderId="23" xfId="0" applyFont="1" applyBorder="1" applyAlignment="1" applyProtection="1">
      <alignment horizontal="center" vertical="center" wrapText="1"/>
      <protection hidden="1"/>
    </xf>
    <xf numFmtId="0" fontId="44" fillId="0" borderId="13" xfId="0" applyFont="1" applyBorder="1" applyAlignment="1" applyProtection="1">
      <alignment horizontal="center" vertical="center" wrapText="1"/>
      <protection hidden="1"/>
    </xf>
    <xf numFmtId="0" fontId="43" fillId="0" borderId="10" xfId="0" applyFont="1" applyFill="1" applyBorder="1" applyAlignment="1" applyProtection="1">
      <alignment horizontal="center" vertical="center" wrapText="1"/>
      <protection locked="0" hidden="1"/>
    </xf>
    <xf numFmtId="0" fontId="43" fillId="0" borderId="11" xfId="0" applyFont="1" applyFill="1" applyBorder="1" applyAlignment="1" applyProtection="1">
      <alignment horizontal="center" vertical="center" wrapText="1"/>
      <protection locked="0" hidden="1"/>
    </xf>
    <xf numFmtId="0" fontId="44" fillId="0" borderId="15"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hidden="1"/>
    </xf>
    <xf numFmtId="0" fontId="43" fillId="0" borderId="10" xfId="0" applyFont="1" applyBorder="1" applyAlignment="1" applyProtection="1">
      <alignment horizontal="center" vertical="center" wrapText="1"/>
      <protection hidden="1"/>
    </xf>
    <xf numFmtId="0" fontId="43" fillId="0" borderId="11" xfId="0" applyFont="1" applyBorder="1" applyAlignment="1" applyProtection="1">
      <alignment horizontal="center" vertical="center" wrapText="1"/>
      <protection hidden="1"/>
    </xf>
    <xf numFmtId="0" fontId="43" fillId="4" borderId="15" xfId="0" applyFont="1" applyFill="1" applyBorder="1" applyAlignment="1" applyProtection="1">
      <alignment horizontal="center" vertical="center" wrapText="1"/>
      <protection locked="0"/>
    </xf>
    <xf numFmtId="0" fontId="43" fillId="4" borderId="2" xfId="0" applyFont="1" applyFill="1" applyBorder="1" applyAlignment="1" applyProtection="1">
      <alignment horizontal="center" vertical="center" wrapText="1"/>
      <protection locked="0"/>
    </xf>
    <xf numFmtId="0" fontId="43" fillId="4" borderId="13" xfId="0" applyFont="1" applyFill="1" applyBorder="1" applyAlignment="1" applyProtection="1">
      <alignment horizontal="center" vertical="center" wrapText="1"/>
      <protection locked="0"/>
    </xf>
    <xf numFmtId="0" fontId="43" fillId="0" borderId="15"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wrapText="1"/>
      <protection locked="0"/>
    </xf>
    <xf numFmtId="0" fontId="43" fillId="0" borderId="15" xfId="0" applyFont="1" applyFill="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wrapText="1"/>
      <protection locked="0"/>
    </xf>
    <xf numFmtId="0" fontId="43" fillId="0" borderId="15" xfId="0" applyFont="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43" fillId="0" borderId="13" xfId="0" applyFont="1" applyBorder="1" applyAlignment="1" applyProtection="1">
      <alignment horizontal="center" vertical="center" wrapText="1"/>
      <protection locked="0"/>
    </xf>
    <xf numFmtId="0" fontId="45" fillId="0" borderId="23" xfId="0" applyFont="1" applyBorder="1" applyAlignment="1">
      <alignment horizontal="center" vertical="center" wrapText="1"/>
    </xf>
    <xf numFmtId="0" fontId="45" fillId="0" borderId="13" xfId="0" applyFont="1" applyBorder="1" applyAlignment="1">
      <alignment horizontal="center" vertical="center" wrapText="1"/>
    </xf>
    <xf numFmtId="0" fontId="43" fillId="0" borderId="23" xfId="0" applyFont="1" applyBorder="1" applyAlignment="1" applyProtection="1">
      <alignment horizontal="center" vertical="center" wrapText="1"/>
      <protection locked="0"/>
    </xf>
    <xf numFmtId="14" fontId="44" fillId="0" borderId="23" xfId="0" applyNumberFormat="1" applyFont="1" applyBorder="1" applyAlignment="1" applyProtection="1">
      <alignment horizontal="center" vertical="center" wrapText="1"/>
      <protection locked="0" hidden="1"/>
    </xf>
    <xf numFmtId="14" fontId="44" fillId="0" borderId="13" xfId="0" applyNumberFormat="1" applyFont="1" applyBorder="1" applyAlignment="1" applyProtection="1">
      <alignment horizontal="center" vertical="center" wrapText="1"/>
      <protection locked="0" hidden="1"/>
    </xf>
    <xf numFmtId="0" fontId="44" fillId="0" borderId="23" xfId="0" applyFont="1" applyBorder="1" applyAlignment="1">
      <alignment horizontal="center" vertical="center"/>
    </xf>
    <xf numFmtId="0" fontId="44" fillId="0" borderId="13" xfId="0" applyFont="1" applyBorder="1" applyAlignment="1">
      <alignment horizontal="center" vertical="center"/>
    </xf>
    <xf numFmtId="9" fontId="44" fillId="0" borderId="12" xfId="7" applyFont="1" applyBorder="1" applyAlignment="1" applyProtection="1">
      <alignment horizontal="center" vertical="center" wrapText="1"/>
      <protection hidden="1"/>
    </xf>
    <xf numFmtId="0" fontId="44" fillId="0" borderId="12" xfId="0" applyFont="1" applyBorder="1" applyAlignment="1" applyProtection="1">
      <alignment horizontal="center" vertical="center" wrapText="1"/>
      <protection locked="0"/>
    </xf>
    <xf numFmtId="0" fontId="43" fillId="0" borderId="10" xfId="0" applyFont="1" applyFill="1" applyBorder="1" applyAlignment="1" applyProtection="1">
      <alignment horizontal="center" vertical="center" wrapText="1"/>
      <protection locked="0"/>
    </xf>
    <xf numFmtId="0" fontId="43" fillId="0" borderId="11" xfId="0" applyFont="1" applyFill="1" applyBorder="1" applyAlignment="1" applyProtection="1">
      <alignment horizontal="center" vertical="center" wrapText="1"/>
      <protection locked="0"/>
    </xf>
    <xf numFmtId="0" fontId="43" fillId="0" borderId="12" xfId="0" applyFont="1" applyFill="1" applyBorder="1" applyAlignment="1" applyProtection="1">
      <alignment horizontal="center" vertical="center" wrapText="1"/>
      <protection locked="0"/>
    </xf>
    <xf numFmtId="9" fontId="67" fillId="0" borderId="23" xfId="7" applyFont="1" applyBorder="1" applyAlignment="1" applyProtection="1">
      <alignment horizontal="center" vertical="center" wrapText="1"/>
      <protection locked="0"/>
    </xf>
    <xf numFmtId="9" fontId="67" fillId="0" borderId="13" xfId="7" applyFont="1" applyBorder="1" applyAlignment="1" applyProtection="1">
      <alignment horizontal="center" vertical="center" wrapText="1"/>
      <protection locked="0"/>
    </xf>
    <xf numFmtId="0" fontId="44" fillId="0" borderId="23" xfId="0" quotePrefix="1" applyFont="1" applyBorder="1" applyAlignment="1" applyProtection="1">
      <alignment horizontal="center" vertical="center" wrapText="1"/>
      <protection hidden="1"/>
    </xf>
    <xf numFmtId="0" fontId="44" fillId="0" borderId="13" xfId="0" quotePrefix="1" applyFont="1" applyBorder="1" applyAlignment="1" applyProtection="1">
      <alignment horizontal="center" vertical="center" wrapText="1"/>
      <protection hidden="1"/>
    </xf>
    <xf numFmtId="14" fontId="43" fillId="0" borderId="15" xfId="0" applyNumberFormat="1" applyFont="1" applyFill="1" applyBorder="1" applyAlignment="1" applyProtection="1">
      <alignment horizontal="center" vertical="center" wrapText="1"/>
      <protection locked="0" hidden="1"/>
    </xf>
    <xf numFmtId="14" fontId="43" fillId="0" borderId="2" xfId="0" applyNumberFormat="1" applyFont="1" applyFill="1" applyBorder="1" applyAlignment="1" applyProtection="1">
      <alignment horizontal="center" vertical="center" wrapText="1"/>
      <protection locked="0" hidden="1"/>
    </xf>
    <xf numFmtId="14" fontId="43" fillId="0" borderId="13" xfId="0" applyNumberFormat="1" applyFont="1" applyFill="1" applyBorder="1" applyAlignment="1" applyProtection="1">
      <alignment horizontal="center" vertical="center" wrapText="1"/>
      <protection locked="0" hidden="1"/>
    </xf>
    <xf numFmtId="14" fontId="43" fillId="0" borderId="15" xfId="0" applyNumberFormat="1" applyFont="1" applyFill="1" applyBorder="1" applyAlignment="1" applyProtection="1">
      <alignment horizontal="center" vertical="center"/>
      <protection hidden="1"/>
    </xf>
    <xf numFmtId="14" fontId="43" fillId="0" borderId="2" xfId="0" applyNumberFormat="1" applyFont="1" applyFill="1" applyBorder="1" applyAlignment="1" applyProtection="1">
      <alignment horizontal="center" vertical="center"/>
      <protection hidden="1"/>
    </xf>
    <xf numFmtId="14" fontId="43" fillId="0" borderId="13" xfId="0" applyNumberFormat="1" applyFont="1" applyFill="1" applyBorder="1" applyAlignment="1" applyProtection="1">
      <alignment horizontal="center" vertical="center"/>
      <protection hidden="1"/>
    </xf>
    <xf numFmtId="0" fontId="22" fillId="0" borderId="1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43" fillId="0" borderId="23" xfId="0" applyFont="1" applyFill="1" applyBorder="1" applyAlignment="1" applyProtection="1">
      <alignment horizontal="center" vertical="center" wrapText="1"/>
      <protection locked="0"/>
    </xf>
    <xf numFmtId="0" fontId="42" fillId="11" borderId="12" xfId="0" applyFont="1" applyFill="1" applyBorder="1" applyAlignment="1" applyProtection="1">
      <alignment horizontal="center" vertical="center" wrapText="1"/>
      <protection locked="0"/>
    </xf>
    <xf numFmtId="9" fontId="43" fillId="0" borderId="1" xfId="7" applyFont="1" applyBorder="1" applyAlignment="1" applyProtection="1">
      <alignment horizontal="center" vertical="center" wrapText="1"/>
      <protection locked="0"/>
    </xf>
    <xf numFmtId="9" fontId="43" fillId="0" borderId="11" xfId="7" applyFont="1" applyBorder="1" applyAlignment="1" applyProtection="1">
      <alignment horizontal="center" vertical="center" wrapText="1"/>
      <protection locked="0"/>
    </xf>
    <xf numFmtId="9" fontId="43" fillId="4" borderId="1" xfId="7" applyFont="1" applyFill="1" applyBorder="1" applyAlignment="1" applyProtection="1">
      <alignment horizontal="center" vertical="center" wrapText="1"/>
      <protection locked="0"/>
    </xf>
    <xf numFmtId="9" fontId="43" fillId="4" borderId="11" xfId="7" applyFont="1" applyFill="1" applyBorder="1" applyAlignment="1" applyProtection="1">
      <alignment horizontal="center" vertical="center" wrapText="1"/>
      <protection locked="0"/>
    </xf>
    <xf numFmtId="9" fontId="43" fillId="4" borderId="12" xfId="7" applyFont="1" applyFill="1" applyBorder="1" applyAlignment="1" applyProtection="1">
      <alignment horizontal="center" vertical="center" wrapText="1"/>
      <protection locked="0"/>
    </xf>
    <xf numFmtId="9" fontId="43" fillId="4" borderId="10" xfId="6" applyFont="1" applyFill="1" applyBorder="1" applyAlignment="1" applyProtection="1">
      <alignment horizontal="center" vertical="center" wrapText="1"/>
      <protection locked="0"/>
    </xf>
    <xf numFmtId="9" fontId="43" fillId="4" borderId="11" xfId="6" applyFont="1" applyFill="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4" fillId="4" borderId="10" xfId="0" applyFont="1" applyFill="1" applyBorder="1" applyAlignment="1" applyProtection="1">
      <alignment horizontal="center" vertical="center" wrapText="1"/>
      <protection locked="0"/>
    </xf>
    <xf numFmtId="0" fontId="44" fillId="4" borderId="11" xfId="0" applyFont="1" applyFill="1" applyBorder="1" applyAlignment="1" applyProtection="1">
      <alignment horizontal="center" vertical="center" wrapText="1"/>
      <protection locked="0"/>
    </xf>
    <xf numFmtId="0" fontId="43" fillId="4" borderId="10" xfId="0" applyFont="1" applyFill="1" applyBorder="1" applyAlignment="1" applyProtection="1">
      <alignment horizontal="center" vertical="center" wrapText="1"/>
      <protection locked="0" hidden="1"/>
    </xf>
    <xf numFmtId="0" fontId="43" fillId="4" borderId="11" xfId="0" applyFont="1" applyFill="1" applyBorder="1" applyAlignment="1" applyProtection="1">
      <alignment horizontal="center" vertical="center" wrapText="1"/>
      <protection locked="0" hidden="1"/>
    </xf>
    <xf numFmtId="0" fontId="43" fillId="4" borderId="10" xfId="0" applyFont="1" applyFill="1" applyBorder="1" applyAlignment="1" applyProtection="1">
      <alignment horizontal="center" vertical="center" wrapText="1"/>
      <protection locked="0"/>
    </xf>
    <xf numFmtId="0" fontId="43" fillId="4" borderId="11" xfId="0" applyFont="1" applyFill="1" applyBorder="1" applyAlignment="1" applyProtection="1">
      <alignment horizontal="center" vertical="center" wrapText="1"/>
      <protection locked="0"/>
    </xf>
    <xf numFmtId="0" fontId="47" fillId="0" borderId="10"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hidden="1"/>
    </xf>
    <xf numFmtId="0" fontId="43" fillId="0" borderId="11" xfId="0" applyFont="1" applyBorder="1" applyAlignment="1" applyProtection="1">
      <alignment horizontal="center" vertical="center" wrapText="1"/>
      <protection locked="0" hidden="1"/>
    </xf>
    <xf numFmtId="0" fontId="47" fillId="0" borderId="1" xfId="0" applyFont="1" applyBorder="1" applyAlignment="1" applyProtection="1">
      <alignment horizontal="center" vertical="center" wrapText="1"/>
      <protection locked="0"/>
    </xf>
    <xf numFmtId="0" fontId="43" fillId="0" borderId="10" xfId="0" applyFont="1" applyBorder="1" applyAlignment="1" applyProtection="1">
      <alignment horizontal="center" vertical="center" wrapText="1"/>
      <protection locked="0" hidden="1"/>
    </xf>
    <xf numFmtId="0" fontId="43" fillId="4" borderId="1" xfId="0" applyFont="1" applyFill="1" applyBorder="1" applyAlignment="1" applyProtection="1">
      <alignment horizontal="center" vertical="center" wrapText="1"/>
      <protection locked="0"/>
    </xf>
    <xf numFmtId="0" fontId="0" fillId="0" borderId="10" xfId="0" applyFont="1" applyBorder="1" applyAlignment="1" applyProtection="1">
      <alignment horizontal="left" vertical="center" wrapText="1"/>
      <protection hidden="1"/>
    </xf>
    <xf numFmtId="0" fontId="0" fillId="0" borderId="1" xfId="0" applyFont="1" applyBorder="1" applyAlignment="1" applyProtection="1">
      <alignment horizontal="left" vertical="center" wrapText="1"/>
      <protection hidden="1"/>
    </xf>
    <xf numFmtId="0" fontId="0" fillId="0" borderId="11" xfId="0" applyFont="1" applyBorder="1" applyAlignment="1" applyProtection="1">
      <alignment horizontal="left" vertical="center" wrapText="1"/>
      <protection hidden="1"/>
    </xf>
  </cellXfs>
  <cellStyles count="9">
    <cellStyle name="Hipervínculo" xfId="1" builtinId="8"/>
    <cellStyle name="Hyperlink 2" xfId="2"/>
    <cellStyle name="Millares 2" xfId="3"/>
    <cellStyle name="Millares 2 2" xfId="4"/>
    <cellStyle name="Millares 3" xfId="5"/>
    <cellStyle name="Normal" xfId="0" builtinId="0"/>
    <cellStyle name="Percent 2" xfId="6"/>
    <cellStyle name="Porcentaje" xfId="7" builtinId="5"/>
    <cellStyle name="Porcentaje 2" xfId="8"/>
  </cellStyles>
  <dxfs count="618">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indexed="13"/>
        </patternFill>
      </fill>
    </dxf>
    <dxf>
      <fill>
        <patternFill>
          <bgColor indexed="53"/>
        </patternFill>
      </fill>
    </dxf>
    <dxf>
      <fill>
        <patternFill>
          <bgColor indexed="6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ont>
        <b/>
        <i val="0"/>
        <color theme="0"/>
      </font>
      <fill>
        <patternFill>
          <bgColor rgb="FFFF00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DB9125"/>
        </patternFill>
      </fill>
    </dxf>
    <dxf>
      <fill>
        <patternFill>
          <bgColor theme="9" tint="0.39994506668294322"/>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indexed="13"/>
        </patternFill>
      </fill>
    </dxf>
    <dxf>
      <fill>
        <patternFill>
          <bgColor indexed="53"/>
        </patternFill>
      </fill>
    </dxf>
    <dxf>
      <fill>
        <patternFill>
          <bgColor indexed="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8</xdr:col>
      <xdr:colOff>742950</xdr:colOff>
      <xdr:row>5</xdr:row>
      <xdr:rowOff>85725</xdr:rowOff>
    </xdr:from>
    <xdr:to>
      <xdr:col>14</xdr:col>
      <xdr:colOff>266700</xdr:colOff>
      <xdr:row>24</xdr:row>
      <xdr:rowOff>323850</xdr:rowOff>
    </xdr:to>
    <xdr:pic>
      <xdr:nvPicPr>
        <xdr:cNvPr id="1044" name="Imagen 1">
          <a:extLst>
            <a:ext uri="{FF2B5EF4-FFF2-40B4-BE49-F238E27FC236}">
              <a16:creationId xmlns:a16="http://schemas.microsoft.com/office/drawing/2014/main" id="{D8DB88D2-2BC3-F25D-CB66-02CFFFCB1E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0300" y="1038225"/>
          <a:ext cx="4095750" cy="385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5443</xdr:colOff>
      <xdr:row>12</xdr:row>
      <xdr:rowOff>111332</xdr:rowOff>
    </xdr:from>
    <xdr:to>
      <xdr:col>8</xdr:col>
      <xdr:colOff>642942</xdr:colOff>
      <xdr:row>15</xdr:row>
      <xdr:rowOff>172305</xdr:rowOff>
    </xdr:to>
    <xdr:sp macro="" textlink="">
      <xdr:nvSpPr>
        <xdr:cNvPr id="5" name="Flecha: a la derecha 4">
          <a:extLst>
            <a:ext uri="{FF2B5EF4-FFF2-40B4-BE49-F238E27FC236}">
              <a16:creationId xmlns:a16="http://schemas.microsoft.com/office/drawing/2014/main" id="{EB68C6EA-4827-4F9B-8914-7D70F40F88C2}"/>
            </a:ext>
          </a:extLst>
        </xdr:cNvPr>
        <xdr:cNvSpPr/>
      </xdr:nvSpPr>
      <xdr:spPr>
        <a:xfrm>
          <a:off x="4854534" y="2345575"/>
          <a:ext cx="1257795" cy="609996"/>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en-US"/>
        </a:p>
      </xdr:txBody>
    </xdr:sp>
    <xdr:clientData/>
  </xdr:twoCellAnchor>
  <xdr:twoCellAnchor>
    <xdr:from>
      <xdr:col>14</xdr:col>
      <xdr:colOff>441960</xdr:colOff>
      <xdr:row>12</xdr:row>
      <xdr:rowOff>91440</xdr:rowOff>
    </xdr:from>
    <xdr:to>
      <xdr:col>16</xdr:col>
      <xdr:colOff>144762</xdr:colOff>
      <xdr:row>15</xdr:row>
      <xdr:rowOff>144780</xdr:rowOff>
    </xdr:to>
    <xdr:sp macro="" textlink="">
      <xdr:nvSpPr>
        <xdr:cNvPr id="6" name="Flecha: a la derecha 5">
          <a:extLst>
            <a:ext uri="{FF2B5EF4-FFF2-40B4-BE49-F238E27FC236}">
              <a16:creationId xmlns:a16="http://schemas.microsoft.com/office/drawing/2014/main" id="{35D833D1-7FA0-43E6-8D01-0433EFF287DA}"/>
            </a:ext>
          </a:extLst>
        </xdr:cNvPr>
        <xdr:cNvSpPr/>
      </xdr:nvSpPr>
      <xdr:spPr>
        <a:xfrm>
          <a:off x="10466070" y="2377440"/>
          <a:ext cx="1242060" cy="62484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en-US"/>
        </a:p>
      </xdr:txBody>
    </xdr:sp>
    <xdr:clientData/>
  </xdr:twoCellAnchor>
  <xdr:twoCellAnchor>
    <xdr:from>
      <xdr:col>22</xdr:col>
      <xdr:colOff>106680</xdr:colOff>
      <xdr:row>11</xdr:row>
      <xdr:rowOff>83820</xdr:rowOff>
    </xdr:from>
    <xdr:to>
      <xdr:col>23</xdr:col>
      <xdr:colOff>640026</xdr:colOff>
      <xdr:row>14</xdr:row>
      <xdr:rowOff>137160</xdr:rowOff>
    </xdr:to>
    <xdr:sp macro="" textlink="">
      <xdr:nvSpPr>
        <xdr:cNvPr id="7" name="Flecha: a la derecha 6">
          <a:extLst>
            <a:ext uri="{FF2B5EF4-FFF2-40B4-BE49-F238E27FC236}">
              <a16:creationId xmlns:a16="http://schemas.microsoft.com/office/drawing/2014/main" id="{AB5AC010-EE39-4D5D-A8C1-BA58FF1E4ED0}"/>
            </a:ext>
          </a:extLst>
        </xdr:cNvPr>
        <xdr:cNvSpPr/>
      </xdr:nvSpPr>
      <xdr:spPr>
        <a:xfrm>
          <a:off x="16242030" y="2186940"/>
          <a:ext cx="1272540" cy="62484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en-US"/>
        </a:p>
      </xdr:txBody>
    </xdr:sp>
    <xdr:clientData/>
  </xdr:twoCellAnchor>
  <xdr:twoCellAnchor>
    <xdr:from>
      <xdr:col>30</xdr:col>
      <xdr:colOff>3068</xdr:colOff>
      <xdr:row>10</xdr:row>
      <xdr:rowOff>60960</xdr:rowOff>
    </xdr:from>
    <xdr:to>
      <xdr:col>31</xdr:col>
      <xdr:colOff>487662</xdr:colOff>
      <xdr:row>13</xdr:row>
      <xdr:rowOff>121933</xdr:rowOff>
    </xdr:to>
    <xdr:sp macro="" textlink="">
      <xdr:nvSpPr>
        <xdr:cNvPr id="8" name="Flecha: a la derecha 7">
          <a:extLst>
            <a:ext uri="{FF2B5EF4-FFF2-40B4-BE49-F238E27FC236}">
              <a16:creationId xmlns:a16="http://schemas.microsoft.com/office/drawing/2014/main" id="{CA7EDBDC-4937-45FA-8751-DEB19EE0692D}"/>
            </a:ext>
          </a:extLst>
        </xdr:cNvPr>
        <xdr:cNvSpPr/>
      </xdr:nvSpPr>
      <xdr:spPr>
        <a:xfrm>
          <a:off x="23231475" y="1973580"/>
          <a:ext cx="1242060" cy="62484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en-US"/>
        </a:p>
      </xdr:txBody>
    </xdr:sp>
    <xdr:clientData/>
  </xdr:twoCellAnchor>
  <xdr:twoCellAnchor editAs="oneCell">
    <xdr:from>
      <xdr:col>31</xdr:col>
      <xdr:colOff>514350</xdr:colOff>
      <xdr:row>5</xdr:row>
      <xdr:rowOff>57150</xdr:rowOff>
    </xdr:from>
    <xdr:to>
      <xdr:col>38</xdr:col>
      <xdr:colOff>9525</xdr:colOff>
      <xdr:row>21</xdr:row>
      <xdr:rowOff>133350</xdr:rowOff>
    </xdr:to>
    <xdr:pic>
      <xdr:nvPicPr>
        <xdr:cNvPr id="1049" name="Imagen 8">
          <a:extLst>
            <a:ext uri="{FF2B5EF4-FFF2-40B4-BE49-F238E27FC236}">
              <a16:creationId xmlns:a16="http://schemas.microsoft.com/office/drawing/2014/main" id="{E114198B-A50B-FA67-5DFA-6E81171FA8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07825" y="1009650"/>
          <a:ext cx="4829175"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38</xdr:col>
      <xdr:colOff>411480</xdr:colOff>
      <xdr:row>10</xdr:row>
      <xdr:rowOff>60960</xdr:rowOff>
    </xdr:from>
    <xdr:to>
      <xdr:col>40</xdr:col>
      <xdr:colOff>121956</xdr:colOff>
      <xdr:row>13</xdr:row>
      <xdr:rowOff>121933</xdr:rowOff>
    </xdr:to>
    <xdr:sp macro="" textlink="">
      <xdr:nvSpPr>
        <xdr:cNvPr id="10" name="Flecha: a la derecha 9">
          <a:extLst>
            <a:ext uri="{FF2B5EF4-FFF2-40B4-BE49-F238E27FC236}">
              <a16:creationId xmlns:a16="http://schemas.microsoft.com/office/drawing/2014/main" id="{7FE82EBF-405F-4217-B326-7805B7448FFD}"/>
            </a:ext>
          </a:extLst>
        </xdr:cNvPr>
        <xdr:cNvSpPr/>
      </xdr:nvSpPr>
      <xdr:spPr>
        <a:xfrm>
          <a:off x="29731335" y="1973580"/>
          <a:ext cx="1242060" cy="62484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en-US"/>
        </a:p>
      </xdr:txBody>
    </xdr:sp>
    <xdr:clientData/>
  </xdr:twoCellAnchor>
  <xdr:twoCellAnchor editAs="oneCell">
    <xdr:from>
      <xdr:col>41</xdr:col>
      <xdr:colOff>19050</xdr:colOff>
      <xdr:row>5</xdr:row>
      <xdr:rowOff>95250</xdr:rowOff>
    </xdr:from>
    <xdr:to>
      <xdr:col>47</xdr:col>
      <xdr:colOff>209550</xdr:colOff>
      <xdr:row>20</xdr:row>
      <xdr:rowOff>104775</xdr:rowOff>
    </xdr:to>
    <xdr:pic>
      <xdr:nvPicPr>
        <xdr:cNvPr id="1051" name="Imagen 10">
          <a:extLst>
            <a:ext uri="{FF2B5EF4-FFF2-40B4-BE49-F238E27FC236}">
              <a16:creationId xmlns:a16="http://schemas.microsoft.com/office/drawing/2014/main" id="{DDA18CA9-2C01-F508-D583-416BC08C6D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051500" y="1047750"/>
          <a:ext cx="476250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41</xdr:col>
      <xdr:colOff>38100</xdr:colOff>
      <xdr:row>20</xdr:row>
      <xdr:rowOff>28575</xdr:rowOff>
    </xdr:from>
    <xdr:to>
      <xdr:col>47</xdr:col>
      <xdr:colOff>247650</xdr:colOff>
      <xdr:row>25</xdr:row>
      <xdr:rowOff>171450</xdr:rowOff>
    </xdr:to>
    <xdr:pic>
      <xdr:nvPicPr>
        <xdr:cNvPr id="1052" name="Imagen 11">
          <a:extLst>
            <a:ext uri="{FF2B5EF4-FFF2-40B4-BE49-F238E27FC236}">
              <a16:creationId xmlns:a16="http://schemas.microsoft.com/office/drawing/2014/main" id="{5D2121F0-6F59-76BE-05D1-B7B903A391A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070550" y="3838575"/>
          <a:ext cx="478155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133350</xdr:colOff>
      <xdr:row>5</xdr:row>
      <xdr:rowOff>57150</xdr:rowOff>
    </xdr:from>
    <xdr:to>
      <xdr:col>54</xdr:col>
      <xdr:colOff>361950</xdr:colOff>
      <xdr:row>19</xdr:row>
      <xdr:rowOff>19050</xdr:rowOff>
    </xdr:to>
    <xdr:pic>
      <xdr:nvPicPr>
        <xdr:cNvPr id="1053" name="Imagen 12">
          <a:extLst>
            <a:ext uri="{FF2B5EF4-FFF2-40B4-BE49-F238E27FC236}">
              <a16:creationId xmlns:a16="http://schemas.microsoft.com/office/drawing/2014/main" id="{9AFB667A-5EC7-E0B6-7102-6EC72251394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261800" y="1009650"/>
          <a:ext cx="4038600"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400050</xdr:colOff>
      <xdr:row>10</xdr:row>
      <xdr:rowOff>57150</xdr:rowOff>
    </xdr:from>
    <xdr:to>
      <xdr:col>49</xdr:col>
      <xdr:colOff>110481</xdr:colOff>
      <xdr:row>13</xdr:row>
      <xdr:rowOff>102955</xdr:rowOff>
    </xdr:to>
    <xdr:sp macro="" textlink="">
      <xdr:nvSpPr>
        <xdr:cNvPr id="14" name="Flecha: a la derecha 13">
          <a:extLst>
            <a:ext uri="{FF2B5EF4-FFF2-40B4-BE49-F238E27FC236}">
              <a16:creationId xmlns:a16="http://schemas.microsoft.com/office/drawing/2014/main" id="{4C0D0439-2C5F-4F6D-B567-886B2943BB45}"/>
            </a:ext>
          </a:extLst>
        </xdr:cNvPr>
        <xdr:cNvSpPr/>
      </xdr:nvSpPr>
      <xdr:spPr>
        <a:xfrm>
          <a:off x="35989260" y="1962150"/>
          <a:ext cx="1242060" cy="62484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en-US"/>
        </a:p>
      </xdr:txBody>
    </xdr:sp>
    <xdr:clientData/>
  </xdr:twoCellAnchor>
  <xdr:twoCellAnchor editAs="oneCell">
    <xdr:from>
      <xdr:col>23</xdr:col>
      <xdr:colOff>704850</xdr:colOff>
      <xdr:row>6</xdr:row>
      <xdr:rowOff>19050</xdr:rowOff>
    </xdr:from>
    <xdr:to>
      <xdr:col>29</xdr:col>
      <xdr:colOff>66675</xdr:colOff>
      <xdr:row>21</xdr:row>
      <xdr:rowOff>171450</xdr:rowOff>
    </xdr:to>
    <xdr:pic>
      <xdr:nvPicPr>
        <xdr:cNvPr id="1055" name="Imagen 14">
          <a:extLst>
            <a:ext uri="{FF2B5EF4-FFF2-40B4-BE49-F238E27FC236}">
              <a16:creationId xmlns:a16="http://schemas.microsoft.com/office/drawing/2014/main" id="{A85044F3-0D8E-5067-1257-7795BC273FB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602200" y="1162050"/>
          <a:ext cx="493395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209550</xdr:colOff>
      <xdr:row>8</xdr:row>
      <xdr:rowOff>133350</xdr:rowOff>
    </xdr:from>
    <xdr:to>
      <xdr:col>21</xdr:col>
      <xdr:colOff>314325</xdr:colOff>
      <xdr:row>18</xdr:row>
      <xdr:rowOff>9525</xdr:rowOff>
    </xdr:to>
    <xdr:pic>
      <xdr:nvPicPr>
        <xdr:cNvPr id="1056" name="Imagen 15">
          <a:extLst>
            <a:ext uri="{FF2B5EF4-FFF2-40B4-BE49-F238E27FC236}">
              <a16:creationId xmlns:a16="http://schemas.microsoft.com/office/drawing/2014/main" id="{5E597116-BBE9-180C-84BC-78816DCF7D6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534900" y="1657350"/>
          <a:ext cx="3152775"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236220</xdr:colOff>
      <xdr:row>18</xdr:row>
      <xdr:rowOff>99060</xdr:rowOff>
    </xdr:from>
    <xdr:to>
      <xdr:col>20</xdr:col>
      <xdr:colOff>38041</xdr:colOff>
      <xdr:row>24</xdr:row>
      <xdr:rowOff>304800</xdr:rowOff>
    </xdr:to>
    <xdr:sp macro="" textlink="">
      <xdr:nvSpPr>
        <xdr:cNvPr id="17" name="Flecha: a la derecha 16">
          <a:extLst>
            <a:ext uri="{FF2B5EF4-FFF2-40B4-BE49-F238E27FC236}">
              <a16:creationId xmlns:a16="http://schemas.microsoft.com/office/drawing/2014/main" id="{57F1F5C7-7133-425B-B4FF-61840D4D5A84}"/>
            </a:ext>
          </a:extLst>
        </xdr:cNvPr>
        <xdr:cNvSpPr/>
      </xdr:nvSpPr>
      <xdr:spPr>
        <a:xfrm rot="5400000">
          <a:off x="13689330" y="3924300"/>
          <a:ext cx="1348740" cy="57150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en-US"/>
        </a:p>
      </xdr:txBody>
    </xdr:sp>
    <xdr:clientData/>
  </xdr:twoCellAnchor>
  <xdr:twoCellAnchor editAs="oneCell">
    <xdr:from>
      <xdr:col>18</xdr:col>
      <xdr:colOff>247650</xdr:colOff>
      <xdr:row>24</xdr:row>
      <xdr:rowOff>485775</xdr:rowOff>
    </xdr:from>
    <xdr:to>
      <xdr:col>21</xdr:col>
      <xdr:colOff>0</xdr:colOff>
      <xdr:row>33</xdr:row>
      <xdr:rowOff>76200</xdr:rowOff>
    </xdr:to>
    <xdr:pic>
      <xdr:nvPicPr>
        <xdr:cNvPr id="1058" name="Imagen 17">
          <a:extLst>
            <a:ext uri="{FF2B5EF4-FFF2-40B4-BE49-F238E27FC236}">
              <a16:creationId xmlns:a16="http://schemas.microsoft.com/office/drawing/2014/main" id="{E0DBFE3B-F16C-05DD-BE4F-ED6ABD7654F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335000" y="5057775"/>
          <a:ext cx="20383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57150</xdr:rowOff>
    </xdr:from>
    <xdr:to>
      <xdr:col>7</xdr:col>
      <xdr:colOff>476250</xdr:colOff>
      <xdr:row>26</xdr:row>
      <xdr:rowOff>76200</xdr:rowOff>
    </xdr:to>
    <xdr:pic>
      <xdr:nvPicPr>
        <xdr:cNvPr id="1059" name="Imagen 1">
          <a:extLst>
            <a:ext uri="{FF2B5EF4-FFF2-40B4-BE49-F238E27FC236}">
              <a16:creationId xmlns:a16="http://schemas.microsoft.com/office/drawing/2014/main" id="{3C80DFB4-B027-447E-3940-647CDB9B52B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200150"/>
          <a:ext cx="5295900" cy="421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171450</xdr:rowOff>
    </xdr:from>
    <xdr:to>
      <xdr:col>8</xdr:col>
      <xdr:colOff>295275</xdr:colOff>
      <xdr:row>64</xdr:row>
      <xdr:rowOff>95250</xdr:rowOff>
    </xdr:to>
    <xdr:pic>
      <xdr:nvPicPr>
        <xdr:cNvPr id="1060" name="Imagen 2">
          <a:extLst>
            <a:ext uri="{FF2B5EF4-FFF2-40B4-BE49-F238E27FC236}">
              <a16:creationId xmlns:a16="http://schemas.microsoft.com/office/drawing/2014/main" id="{50726A01-0F28-D626-FEF8-6BE8AD519A5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5695950"/>
          <a:ext cx="5762625" cy="697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66</xdr:row>
      <xdr:rowOff>0</xdr:rowOff>
    </xdr:from>
    <xdr:to>
      <xdr:col>8</xdr:col>
      <xdr:colOff>409575</xdr:colOff>
      <xdr:row>100</xdr:row>
      <xdr:rowOff>152400</xdr:rowOff>
    </xdr:to>
    <xdr:pic>
      <xdr:nvPicPr>
        <xdr:cNvPr id="1061" name="Imagen 3">
          <a:extLst>
            <a:ext uri="{FF2B5EF4-FFF2-40B4-BE49-F238E27FC236}">
              <a16:creationId xmlns:a16="http://schemas.microsoft.com/office/drawing/2014/main" id="{704F5DC1-A409-9519-AF43-7D472E218942}"/>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12954000"/>
          <a:ext cx="5876925" cy="662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102</xdr:row>
      <xdr:rowOff>0</xdr:rowOff>
    </xdr:from>
    <xdr:to>
      <xdr:col>11</xdr:col>
      <xdr:colOff>228600</xdr:colOff>
      <xdr:row>118</xdr:row>
      <xdr:rowOff>47625</xdr:rowOff>
    </xdr:to>
    <xdr:pic>
      <xdr:nvPicPr>
        <xdr:cNvPr id="1062" name="Imagen 8">
          <a:extLst>
            <a:ext uri="{FF2B5EF4-FFF2-40B4-BE49-F238E27FC236}">
              <a16:creationId xmlns:a16="http://schemas.microsoft.com/office/drawing/2014/main" id="{51C3190E-17B0-074C-692C-FFD18322EF6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19812000"/>
          <a:ext cx="7981950" cy="309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B2" zoomScaleNormal="100" workbookViewId="0">
      <selection activeCell="K1" sqref="K1"/>
    </sheetView>
  </sheetViews>
  <sheetFormatPr baseColWidth="10" defaultColWidth="11.42578125" defaultRowHeight="15"/>
  <cols>
    <col min="2" max="2" width="14.7109375" customWidth="1"/>
    <col min="3" max="3" width="15.42578125" customWidth="1"/>
    <col min="8" max="8" width="14.85546875" customWidth="1"/>
    <col min="10" max="10" width="14.42578125" customWidth="1"/>
    <col min="13" max="13" width="13.28515625" customWidth="1"/>
  </cols>
  <sheetData>
    <row r="1" spans="1:18" ht="45.75" thickBot="1">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1" t="s">
        <v>17</v>
      </c>
    </row>
    <row r="2" spans="1:18" ht="105.75" thickBot="1">
      <c r="A2" s="12" t="s">
        <v>13</v>
      </c>
      <c r="B2" s="12" t="s">
        <v>18</v>
      </c>
      <c r="C2" s="12" t="s">
        <v>19</v>
      </c>
      <c r="D2" s="12" t="s">
        <v>20</v>
      </c>
      <c r="E2" s="12" t="s">
        <v>21</v>
      </c>
      <c r="F2" s="12" t="s">
        <v>22</v>
      </c>
      <c r="G2" s="13" t="s">
        <v>23</v>
      </c>
      <c r="H2" s="13" t="s">
        <v>24</v>
      </c>
      <c r="I2" s="13" t="s">
        <v>25</v>
      </c>
      <c r="J2" s="13" t="s">
        <v>26</v>
      </c>
      <c r="K2" s="13" t="s">
        <v>27</v>
      </c>
      <c r="L2" s="13" t="s">
        <v>28</v>
      </c>
      <c r="M2" s="13" t="s">
        <v>29</v>
      </c>
      <c r="N2" s="14" t="s">
        <v>30</v>
      </c>
      <c r="O2" s="15" t="s">
        <v>31</v>
      </c>
      <c r="P2" s="14" t="s">
        <v>32</v>
      </c>
      <c r="Q2" s="16" t="s">
        <v>33</v>
      </c>
      <c r="R2" s="17" t="s">
        <v>34</v>
      </c>
    </row>
    <row r="3" spans="1:18" ht="240.75" thickBot="1">
      <c r="A3" s="12" t="s">
        <v>14</v>
      </c>
      <c r="B3" s="18" t="s">
        <v>35</v>
      </c>
      <c r="C3" s="12" t="s">
        <v>36</v>
      </c>
      <c r="D3" s="13" t="s">
        <v>37</v>
      </c>
      <c r="E3" s="12" t="s">
        <v>38</v>
      </c>
      <c r="F3" s="12" t="s">
        <v>39</v>
      </c>
      <c r="G3" s="13" t="s">
        <v>40</v>
      </c>
      <c r="H3" s="13" t="s">
        <v>41</v>
      </c>
      <c r="I3" s="13" t="s">
        <v>42</v>
      </c>
      <c r="J3" s="13" t="s">
        <v>43</v>
      </c>
      <c r="K3" s="13" t="s">
        <v>44</v>
      </c>
      <c r="L3" s="13" t="s">
        <v>45</v>
      </c>
      <c r="M3" s="13" t="s">
        <v>46</v>
      </c>
      <c r="N3" s="14" t="s">
        <v>47</v>
      </c>
      <c r="O3" s="15" t="s">
        <v>48</v>
      </c>
      <c r="P3" s="14" t="s">
        <v>49</v>
      </c>
      <c r="Q3" s="17" t="s">
        <v>50</v>
      </c>
      <c r="R3" s="17" t="s">
        <v>51</v>
      </c>
    </row>
    <row r="4" spans="1:18" ht="150.75" thickBot="1">
      <c r="A4" s="12" t="s">
        <v>52</v>
      </c>
      <c r="B4" s="12" t="s">
        <v>53</v>
      </c>
      <c r="C4" s="12" t="s">
        <v>54</v>
      </c>
      <c r="D4" s="12" t="s">
        <v>55</v>
      </c>
      <c r="E4" s="12" t="s">
        <v>56</v>
      </c>
      <c r="F4" s="12" t="s">
        <v>57</v>
      </c>
      <c r="G4" s="12" t="s">
        <v>58</v>
      </c>
      <c r="J4" s="17" t="s">
        <v>59</v>
      </c>
      <c r="K4" s="17" t="s">
        <v>60</v>
      </c>
      <c r="L4" s="17" t="s">
        <v>61</v>
      </c>
      <c r="M4" s="13" t="s">
        <v>62</v>
      </c>
      <c r="N4" s="14" t="s">
        <v>63</v>
      </c>
      <c r="O4" s="15" t="s">
        <v>64</v>
      </c>
      <c r="P4" s="14" t="s">
        <v>65</v>
      </c>
      <c r="Q4" s="16" t="s">
        <v>66</v>
      </c>
    </row>
    <row r="5" spans="1:18" ht="210.75" thickBot="1">
      <c r="A5" s="12"/>
      <c r="B5" s="12" t="s">
        <v>12</v>
      </c>
      <c r="C5" s="12" t="s">
        <v>67</v>
      </c>
      <c r="D5" s="12" t="s">
        <v>68</v>
      </c>
      <c r="E5" s="12" t="s">
        <v>69</v>
      </c>
      <c r="F5" s="12"/>
      <c r="G5" s="13" t="s">
        <v>70</v>
      </c>
      <c r="J5" s="17" t="s">
        <v>71</v>
      </c>
      <c r="K5" s="17" t="s">
        <v>72</v>
      </c>
      <c r="L5" s="17" t="s">
        <v>73</v>
      </c>
      <c r="M5" s="17" t="s">
        <v>74</v>
      </c>
      <c r="N5" s="14" t="s">
        <v>75</v>
      </c>
      <c r="O5" s="15" t="s">
        <v>76</v>
      </c>
      <c r="P5" s="14" t="s">
        <v>77</v>
      </c>
      <c r="Q5" s="16" t="s">
        <v>78</v>
      </c>
    </row>
    <row r="6" spans="1:18" ht="150.75" thickBot="1">
      <c r="A6" s="12"/>
      <c r="B6" s="12" t="s">
        <v>79</v>
      </c>
      <c r="C6" s="12" t="s">
        <v>80</v>
      </c>
      <c r="D6" s="12" t="s">
        <v>81</v>
      </c>
      <c r="E6" s="12" t="s">
        <v>82</v>
      </c>
      <c r="F6" s="12"/>
      <c r="G6" s="13" t="s">
        <v>35</v>
      </c>
      <c r="J6" s="17" t="s">
        <v>83</v>
      </c>
      <c r="K6" s="17" t="s">
        <v>73</v>
      </c>
      <c r="L6" s="17" t="s">
        <v>84</v>
      </c>
      <c r="M6" s="13" t="s">
        <v>85</v>
      </c>
      <c r="N6" s="14" t="s">
        <v>86</v>
      </c>
      <c r="O6" s="15" t="s">
        <v>87</v>
      </c>
      <c r="P6" s="14" t="s">
        <v>88</v>
      </c>
      <c r="Q6" s="16" t="s">
        <v>89</v>
      </c>
    </row>
    <row r="7" spans="1:18" ht="45">
      <c r="A7" s="12"/>
      <c r="B7" s="12" t="s">
        <v>90</v>
      </c>
      <c r="C7" s="12" t="s">
        <v>91</v>
      </c>
      <c r="D7" s="12"/>
      <c r="E7" s="12"/>
      <c r="F7" s="12"/>
      <c r="G7" s="12" t="s">
        <v>92</v>
      </c>
      <c r="K7" s="17" t="s">
        <v>93</v>
      </c>
      <c r="M7" s="13" t="s">
        <v>94</v>
      </c>
      <c r="N7" s="19" t="s">
        <v>73</v>
      </c>
      <c r="O7" s="19" t="s">
        <v>73</v>
      </c>
      <c r="P7" s="19" t="s">
        <v>73</v>
      </c>
      <c r="Q7" s="16" t="s">
        <v>95</v>
      </c>
    </row>
    <row r="8" spans="1:18" ht="45">
      <c r="A8" s="12"/>
      <c r="B8" s="12"/>
      <c r="C8" s="12" t="s">
        <v>96</v>
      </c>
      <c r="D8" s="12"/>
      <c r="E8" s="12"/>
      <c r="F8" s="12"/>
      <c r="G8" s="13" t="s">
        <v>12</v>
      </c>
      <c r="K8" s="17" t="s">
        <v>97</v>
      </c>
      <c r="M8" s="13" t="s">
        <v>98</v>
      </c>
      <c r="Q8" s="16" t="s">
        <v>99</v>
      </c>
    </row>
    <row r="9" spans="1:18" ht="60">
      <c r="C9" s="13" t="s">
        <v>100</v>
      </c>
      <c r="G9" s="12" t="s">
        <v>101</v>
      </c>
      <c r="M9" s="13" t="s">
        <v>102</v>
      </c>
    </row>
    <row r="10" spans="1:18" ht="45">
      <c r="G10" s="12" t="s">
        <v>103</v>
      </c>
      <c r="M10" s="13" t="s">
        <v>104</v>
      </c>
    </row>
    <row r="11" spans="1:18" ht="45">
      <c r="G11" s="13" t="s">
        <v>105</v>
      </c>
      <c r="M11" s="13" t="s">
        <v>106</v>
      </c>
    </row>
    <row r="12" spans="1:18" ht="30">
      <c r="G12" s="13" t="s">
        <v>107</v>
      </c>
      <c r="M12" s="13" t="s">
        <v>108</v>
      </c>
    </row>
    <row r="13" spans="1:18" ht="45">
      <c r="G13" s="13" t="s">
        <v>109</v>
      </c>
      <c r="M13" s="13" t="s">
        <v>110</v>
      </c>
    </row>
    <row r="14" spans="1:18" ht="60">
      <c r="M14" s="13" t="s">
        <v>111</v>
      </c>
    </row>
    <row r="15" spans="1:18">
      <c r="M15" s="13" t="s">
        <v>112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5"/>
  <sheetViews>
    <sheetView topLeftCell="AD14" zoomScale="69" zoomScaleNormal="69" workbookViewId="0">
      <selection activeCell="AR15" sqref="AR15"/>
    </sheetView>
  </sheetViews>
  <sheetFormatPr baseColWidth="10" defaultColWidth="17.28515625" defaultRowHeight="112.15" customHeight="1"/>
  <cols>
    <col min="1" max="1" width="14.140625" style="63" customWidth="1"/>
    <col min="2" max="2" width="14" style="63" customWidth="1"/>
    <col min="3" max="3" width="17.28515625" style="63" customWidth="1"/>
    <col min="4" max="4" width="19.42578125" style="63" customWidth="1"/>
    <col min="5" max="5" width="19.5703125" style="63" customWidth="1"/>
    <col min="6" max="6" width="59.7109375" style="53" customWidth="1"/>
    <col min="7" max="7" width="9.7109375" style="63" customWidth="1"/>
    <col min="8" max="8" width="58.140625" style="63" customWidth="1"/>
    <col min="9" max="9" width="44.28515625" style="63" customWidth="1"/>
    <col min="10" max="10" width="14.7109375" style="63" bestFit="1" customWidth="1"/>
    <col min="11" max="11" width="16.7109375" style="63" customWidth="1"/>
    <col min="12" max="12" width="19.28515625" style="63" customWidth="1"/>
    <col min="13" max="13" width="46.140625" style="63" customWidth="1"/>
    <col min="14" max="14" width="19.28515625" style="63" customWidth="1"/>
    <col min="15" max="15" width="45.28515625" style="63" customWidth="1"/>
    <col min="16" max="16" width="17.7109375" style="63" customWidth="1"/>
    <col min="17" max="17" width="32.42578125" style="63" customWidth="1"/>
    <col min="18" max="18" width="17.140625" style="63" customWidth="1"/>
    <col min="19" max="21" width="21.85546875" style="63" customWidth="1"/>
    <col min="22" max="22" width="15" style="63" customWidth="1"/>
    <col min="23" max="23" width="12.28515625" style="239" customWidth="1"/>
    <col min="24" max="24" width="13.7109375" style="63" customWidth="1"/>
    <col min="25" max="25" width="14.7109375" style="239" customWidth="1"/>
    <col min="26" max="26" width="16.85546875" style="63" bestFit="1" customWidth="1"/>
    <col min="27" max="27" width="7.85546875" style="63" customWidth="1"/>
    <col min="28" max="28" width="28.140625" style="63" customWidth="1"/>
    <col min="29" max="29" width="102.5703125" style="63" customWidth="1"/>
    <col min="30" max="30" width="10" style="63" bestFit="1" customWidth="1"/>
    <col min="31" max="31" width="8.42578125" style="239" customWidth="1"/>
    <col min="32" max="32" width="20.28515625" style="239" customWidth="1"/>
    <col min="33" max="33" width="9" style="239" customWidth="1"/>
    <col min="34" max="34" width="14.140625" style="239" customWidth="1"/>
    <col min="35" max="35" width="16.42578125" style="63" customWidth="1"/>
    <col min="36" max="36" width="14.7109375" style="63" customWidth="1"/>
    <col min="37" max="37" width="36.5703125" style="63" customWidth="1"/>
    <col min="38" max="38" width="13.7109375" style="63" customWidth="1"/>
    <col min="39" max="39" width="13.7109375" style="239" customWidth="1"/>
    <col min="40" max="40" width="13.7109375" style="63" customWidth="1"/>
    <col min="41" max="41" width="15.28515625" style="63" customWidth="1"/>
    <col min="42" max="42" width="12.140625" style="63" customWidth="1"/>
    <col min="43" max="43" width="49.28515625" style="63" customWidth="1"/>
    <col min="44" max="44" width="17" style="63" customWidth="1"/>
    <col min="45" max="46" width="11.5703125" style="238" customWidth="1"/>
    <col min="47" max="47" width="21.85546875" style="63" customWidth="1"/>
    <col min="48" max="57" width="18.140625" style="63" customWidth="1"/>
    <col min="58" max="216" width="11.42578125" style="63" customWidth="1"/>
    <col min="217" max="217" width="21.85546875" style="63" customWidth="1"/>
    <col min="218" max="218" width="13.85546875" style="63" customWidth="1"/>
    <col min="219" max="219" width="38.7109375" style="63" customWidth="1"/>
    <col min="220" max="220" width="3" style="63" bestFit="1" customWidth="1"/>
    <col min="221" max="221" width="32.28515625" style="63" customWidth="1"/>
    <col min="222" max="222" width="46.28515625" style="63" customWidth="1"/>
    <col min="223" max="223" width="19" style="63" customWidth="1"/>
    <col min="224" max="224" width="11.42578125" style="63" customWidth="1"/>
    <col min="225" max="225" width="17.7109375" style="63" customWidth="1"/>
    <col min="226" max="226" width="11.42578125" style="63" customWidth="1"/>
    <col min="227" max="227" width="22.28515625" style="63" customWidth="1"/>
    <col min="228" max="228" width="5.28515625" style="63" customWidth="1"/>
    <col min="229" max="229" width="36.28515625" style="63" customWidth="1"/>
    <col min="230" max="230" width="5.7109375" style="63" customWidth="1"/>
    <col min="231" max="231" width="11.42578125" style="63" customWidth="1"/>
    <col min="232" max="232" width="20.7109375" style="63" customWidth="1"/>
    <col min="233" max="233" width="4.85546875" style="63" customWidth="1"/>
    <col min="234" max="234" width="11.42578125" style="63" customWidth="1"/>
    <col min="235" max="235" width="24.7109375" style="63" customWidth="1"/>
    <col min="236" max="236" width="12.28515625" style="63" customWidth="1"/>
    <col min="237" max="237" width="11.42578125" style="63" customWidth="1"/>
    <col min="238" max="238" width="3.42578125" style="63" customWidth="1"/>
    <col min="239" max="239" width="11.42578125" style="63" customWidth="1"/>
    <col min="240" max="240" width="17.7109375" style="63" customWidth="1"/>
    <col min="241" max="241" width="3.42578125" style="63" customWidth="1"/>
    <col min="242" max="242" width="11.42578125" style="63" customWidth="1"/>
    <col min="243" max="243" width="23.7109375" style="63" customWidth="1"/>
    <col min="244" max="244" width="10" style="63" customWidth="1"/>
    <col min="245" max="245" width="11.42578125" style="63" customWidth="1"/>
    <col min="246" max="247" width="14.7109375" style="63" customWidth="1"/>
    <col min="248" max="248" width="12.85546875" style="63" customWidth="1"/>
    <col min="249" max="249" width="3.28515625" style="63" customWidth="1"/>
    <col min="250" max="250" width="30.28515625" style="63" customWidth="1"/>
    <col min="251" max="251" width="5" style="63" customWidth="1"/>
    <col min="252" max="252" width="11.42578125" style="63" customWidth="1"/>
    <col min="253" max="253" width="14.28515625" style="63" customWidth="1"/>
    <col min="254" max="254" width="5.7109375" style="63" customWidth="1"/>
    <col min="255" max="255" width="11.42578125" style="63" customWidth="1"/>
    <col min="256" max="16384" width="17.28515625" style="63"/>
  </cols>
  <sheetData>
    <row r="1" spans="1:59" ht="112.15"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78" t="s">
        <v>467</v>
      </c>
      <c r="BG1" s="78" t="s">
        <v>468</v>
      </c>
    </row>
    <row r="2" spans="1:59" ht="112.15"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59"/>
      <c r="BG2" s="59"/>
    </row>
    <row r="3" spans="1:59" s="46" customFormat="1" ht="112.15" customHeight="1">
      <c r="A3" s="611" t="s">
        <v>199</v>
      </c>
      <c r="B3" s="611" t="s">
        <v>144</v>
      </c>
      <c r="C3" s="611" t="s">
        <v>6</v>
      </c>
      <c r="D3" s="611" t="s">
        <v>1</v>
      </c>
      <c r="E3" s="611" t="s">
        <v>2</v>
      </c>
      <c r="F3" s="568"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ht="112.15" customHeight="1">
      <c r="A4" s="965" t="s">
        <v>231</v>
      </c>
      <c r="B4" s="968" t="s">
        <v>85</v>
      </c>
      <c r="C4" s="968" t="s">
        <v>152</v>
      </c>
      <c r="D4" s="968" t="s">
        <v>79</v>
      </c>
      <c r="E4" s="968" t="s">
        <v>96</v>
      </c>
      <c r="F4" s="973" t="s">
        <v>652</v>
      </c>
      <c r="G4" s="976" t="s">
        <v>653</v>
      </c>
      <c r="H4" s="973" t="s">
        <v>654</v>
      </c>
      <c r="I4" s="973" t="s">
        <v>655</v>
      </c>
      <c r="J4" s="968" t="s">
        <v>50</v>
      </c>
      <c r="K4" s="968">
        <v>0</v>
      </c>
      <c r="L4" s="970">
        <f>IF(J4="Diaria",+(K4/360),IF(J4="Semanal",+(K4/52),IF(J4="Mensual",+(K4/12),IF(J4="Bimestral",+(K4/6),IF(J4="Trimestral",+(K4/4),IF(J4="Semestral",+(K4/2),IF(J4="Anual",+(K4/1),"")))))))</f>
        <v>0</v>
      </c>
      <c r="M4" s="968" t="s">
        <v>30</v>
      </c>
      <c r="N4" s="970">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0.2</v>
      </c>
      <c r="O4" s="968" t="s">
        <v>73</v>
      </c>
      <c r="P4" s="970">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v>
      </c>
      <c r="Q4" s="968" t="s">
        <v>73</v>
      </c>
      <c r="R4" s="970">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965" t="s">
        <v>60</v>
      </c>
      <c r="T4" s="965" t="s">
        <v>61</v>
      </c>
      <c r="U4" s="970">
        <f>+MAX(N4,P4,R4)</f>
        <v>0.2</v>
      </c>
      <c r="V4" s="912" t="str">
        <f>IF(L4&lt;=20%,"Muy baja",IF(L4&lt;=40%,"Baja",IF(L4&lt;=60%,"Media",IF(L4&lt;=80%,"Alta",IF(L4&lt;=100%,"Muy alta",IF(L4&gt;=100%,"Muy alta",""))))))</f>
        <v>Muy baja</v>
      </c>
      <c r="W4" s="985">
        <f>+IFERROR(VLOOKUP(V4,formulas!$F$1:$G$6,2,FALSE),"")</f>
        <v>0.2</v>
      </c>
      <c r="X4" s="911" t="str">
        <f>IF(U4=20%,"Leve",IF(U4=40%,"Menor",IF(U4=60%,"Moderado",IF(U4=80%,"Mayor",IF(U4=100%,"Catastrófico","")))))</f>
        <v>Leve</v>
      </c>
      <c r="Y4" s="970">
        <f>+IFERROR(VLOOKUP(X4,formulas!$H$1:$I$6,2,FALSE),"")</f>
        <v>0.2</v>
      </c>
      <c r="Z4" s="911" t="str">
        <f>+IFERROR(VLOOKUP(V4&amp;X4,formulas!$C$2:$D$26,2,FALSE),"")</f>
        <v>Bajo</v>
      </c>
      <c r="AA4" s="970">
        <f>IF(Z4="Bajo",25%,IF(Z4="Moderado",50%,IF(Z4="Alto",75%,IF(Z4="Extremo",100%,""))))</f>
        <v>0.25</v>
      </c>
      <c r="AB4" s="982" t="s">
        <v>656</v>
      </c>
      <c r="AC4" s="672" t="s">
        <v>657</v>
      </c>
      <c r="AD4" s="672" t="s">
        <v>57</v>
      </c>
      <c r="AE4" s="670">
        <f t="shared" ref="AE4:AE17" si="0">IF(AD4="Preventivo",25%,IF(AD4="Detectivo",15%,IF(AD4="Correctivo",10%,"")))</f>
        <v>0.25</v>
      </c>
      <c r="AF4" s="672" t="s">
        <v>229</v>
      </c>
      <c r="AG4" s="670">
        <f>IF(AF4="Manual",15%,IF(AF4="Automático",25%,""))</f>
        <v>0.15</v>
      </c>
      <c r="AH4" s="670">
        <f t="shared" ref="AH4:AH17" si="1">+AG4+AE4</f>
        <v>0.4</v>
      </c>
      <c r="AI4" s="672" t="s">
        <v>230</v>
      </c>
      <c r="AJ4" s="493"/>
      <c r="AK4" s="493"/>
      <c r="AL4" s="74">
        <f>+AA4*AH4</f>
        <v>0.1</v>
      </c>
      <c r="AM4" s="74">
        <f>+AA4-AL4</f>
        <v>0.15</v>
      </c>
      <c r="AN4" s="911" t="str">
        <f>+IF(C4="Corrupción","Moderado",IF(AM5&lt;=25%,"Bajo",IF(AM5&lt;=50%,"Moderado",IF(AM5&lt;=75%,"Alto",IF(AM5&gt;75%,"Extremo","")))))</f>
        <v>Bajo</v>
      </c>
      <c r="AO4" s="962" t="s">
        <v>59</v>
      </c>
      <c r="AP4" s="141">
        <v>1</v>
      </c>
      <c r="AQ4" s="672" t="s">
        <v>271</v>
      </c>
      <c r="AR4" s="672" t="s">
        <v>272</v>
      </c>
      <c r="AS4" s="496"/>
      <c r="AT4" s="496"/>
      <c r="AU4" s="672"/>
      <c r="AV4" s="672"/>
      <c r="AW4" s="672"/>
      <c r="AX4" s="672"/>
      <c r="AY4" s="672"/>
      <c r="AZ4" s="672"/>
      <c r="BA4" s="672"/>
      <c r="BB4" s="672"/>
      <c r="BC4" s="672"/>
      <c r="BD4" s="672"/>
      <c r="BE4" s="672"/>
      <c r="BF4" s="240"/>
      <c r="BG4" s="240"/>
    </row>
    <row r="5" spans="1:59" ht="112.15" customHeight="1" thickBot="1">
      <c r="A5" s="966"/>
      <c r="B5" s="969"/>
      <c r="C5" s="969"/>
      <c r="D5" s="969"/>
      <c r="E5" s="969"/>
      <c r="F5" s="974"/>
      <c r="G5" s="977"/>
      <c r="H5" s="974"/>
      <c r="I5" s="974"/>
      <c r="J5" s="969"/>
      <c r="K5" s="969"/>
      <c r="L5" s="971"/>
      <c r="M5" s="969"/>
      <c r="N5" s="971"/>
      <c r="O5" s="969"/>
      <c r="P5" s="971"/>
      <c r="Q5" s="969"/>
      <c r="R5" s="971"/>
      <c r="S5" s="966"/>
      <c r="T5" s="966"/>
      <c r="U5" s="971"/>
      <c r="V5" s="913"/>
      <c r="W5" s="986"/>
      <c r="X5" s="822"/>
      <c r="Y5" s="971"/>
      <c r="Z5" s="822"/>
      <c r="AA5" s="971"/>
      <c r="AB5" s="983"/>
      <c r="AC5" s="673" t="s">
        <v>658</v>
      </c>
      <c r="AD5" s="673" t="s">
        <v>57</v>
      </c>
      <c r="AE5" s="671">
        <f t="shared" si="0"/>
        <v>0.25</v>
      </c>
      <c r="AF5" s="673" t="s">
        <v>229</v>
      </c>
      <c r="AG5" s="671">
        <f t="shared" ref="AG5:AG17" si="2">IF(AF5="Manual",15%,IF(AF5="Automático",25%,""))</f>
        <v>0.15</v>
      </c>
      <c r="AH5" s="671">
        <f t="shared" si="1"/>
        <v>0.4</v>
      </c>
      <c r="AI5" s="673" t="s">
        <v>230</v>
      </c>
      <c r="AJ5" s="706"/>
      <c r="AK5" s="706"/>
      <c r="AL5" s="182">
        <f>+AM4*AH5</f>
        <v>0.06</v>
      </c>
      <c r="AM5" s="182">
        <f>+AM4-AL5</f>
        <v>0.09</v>
      </c>
      <c r="AN5" s="822"/>
      <c r="AO5" s="963"/>
      <c r="AP5" s="142">
        <v>2</v>
      </c>
      <c r="AQ5" s="673" t="s">
        <v>659</v>
      </c>
      <c r="AR5" s="673" t="s">
        <v>660</v>
      </c>
      <c r="AS5" s="497"/>
      <c r="AT5" s="497"/>
      <c r="AU5" s="673"/>
      <c r="AV5" s="673"/>
      <c r="AW5" s="673"/>
      <c r="AX5" s="673"/>
      <c r="AY5" s="673"/>
      <c r="AZ5" s="673"/>
      <c r="BA5" s="673"/>
      <c r="BB5" s="673"/>
      <c r="BC5" s="673"/>
      <c r="BD5" s="673"/>
      <c r="BE5" s="673"/>
      <c r="BF5" s="713"/>
      <c r="BG5" s="713"/>
    </row>
    <row r="6" spans="1:59" ht="112.15" customHeight="1" thickBot="1">
      <c r="A6" s="143" t="s">
        <v>231</v>
      </c>
      <c r="B6" s="124" t="s">
        <v>85</v>
      </c>
      <c r="C6" s="124" t="s">
        <v>58</v>
      </c>
      <c r="D6" s="124" t="s">
        <v>79</v>
      </c>
      <c r="E6" s="124" t="s">
        <v>80</v>
      </c>
      <c r="F6" s="125" t="s">
        <v>661</v>
      </c>
      <c r="G6" s="134" t="s">
        <v>263</v>
      </c>
      <c r="H6" s="135" t="s">
        <v>662</v>
      </c>
      <c r="I6" s="124" t="s">
        <v>663</v>
      </c>
      <c r="J6" s="124" t="s">
        <v>95</v>
      </c>
      <c r="K6" s="124">
        <v>1</v>
      </c>
      <c r="L6" s="222">
        <f t="shared" ref="L6:L17" si="3">IF(J6="Diaria",+(K6/360),IF(J6="Semanal",+(K6/52),IF(J6="Mensual",+(K6/12),IF(J6="Bimestral",+(K6/6),IF(J6="Trimestral",+(K6/4),IF(J6="Semestral",+(K6/2),IF(J6="Anual",+(K6/1),"")))))))</f>
        <v>0.5</v>
      </c>
      <c r="M6" s="124" t="s">
        <v>30</v>
      </c>
      <c r="N6" s="222">
        <f t="shared" ref="N6:N17" si="4">IF(M6="Menor al 1% del patrimonio de la Lotería de Bogotá",20%,IF(M6="Entre el 1% y el 3% del patrimonio de la Lotería de Bogotá",40%,IF(M6="Entre el 3% y el 6% del patrimonio de la Lotería de Bogotá",60%,IF(M6="Entre el 6% y el 10% del patrimonio de la Lotería de Bogotá",80%,IF(M6="Mayor al 10% del patrimonio de la Lotería de Bogotá",100%,IF(M6="NA",0%,""))))))</f>
        <v>0.2</v>
      </c>
      <c r="O6" s="124" t="s">
        <v>48</v>
      </c>
      <c r="P6" s="222">
        <f t="shared" ref="P6:P17" si="5">IF(O6="El riesgo afecta la imagen de algún área de la organización",20%,IF(O6="El riesgo afecta la imagen de la entidad internamente, de conocimiento general nivel interno, de junta directiva y accionistas y/o de proveedores",40%,IF(O6="El riesgo afecta la imagen de la entidad con algunos usuarios de relevancia frente al logro de los objetivos",60%,IF(O6="El riesgo afecta la imagen de la entidad con efecto publicitario sostenido a nivel de sector administrativo, nivel departamental o municipal",80%,IF(O6="El riesgo afecta la imagen de la entidad a nivel nacional, con efecto publicitario sostenido a nivel país",100%,IF(O6="NA",0%,""))))))</f>
        <v>0.4</v>
      </c>
      <c r="Q6" s="124" t="s">
        <v>73</v>
      </c>
      <c r="R6" s="222">
        <f t="shared" ref="R6:R17" si="6">IF(Q6="Interrupción de la operación por menos de un día",20%,IF(Q6="Interrupción de la operación por un día completo",40%,IF(Q6="Interrupción de la operación mayor a 1 día y menor a 2 días",60%,IF(Q6="Interrupción de la operación por dos días completos",80%,IF(Q6="Interrupción de la operación por más de dos días",100%,IF(Q6="NA",0%,""))))))</f>
        <v>0</v>
      </c>
      <c r="S6" s="143" t="s">
        <v>60</v>
      </c>
      <c r="T6" s="143" t="s">
        <v>61</v>
      </c>
      <c r="U6" s="222">
        <f t="shared" ref="U6:U17" si="7">+MAX(N6,P6,R6)</f>
        <v>0.4</v>
      </c>
      <c r="V6" s="425" t="str">
        <f t="shared" ref="V6:V17" si="8">IF(L6&lt;=20%,"Muy baja",IF(L6&lt;=40%,"Baja",IF(L6&lt;=60%,"Media",IF(L6&lt;=80%,"Alta",IF(L6&lt;=100%,"Muy alta",IF(L6&gt;=100%,"Muy alta",""))))))</f>
        <v>Media</v>
      </c>
      <c r="W6" s="222">
        <f>+IFERROR(VLOOKUP(V6,formulas!$F$1:$G$6,2,FALSE),"")</f>
        <v>0.6</v>
      </c>
      <c r="X6" s="351" t="str">
        <f t="shared" ref="X6:X17" si="9">IF(U6=20%,"Leve",IF(U6=40%,"Menor",IF(U6=60%,"Moderado",IF(U6=80%,"Mayor",IF(U6=100%,"Catastrófico","")))))</f>
        <v>Menor</v>
      </c>
      <c r="Y6" s="222">
        <f>+IFERROR(VLOOKUP(X6,formulas!$H$1:$I$6,2,FALSE),"")</f>
        <v>0.4</v>
      </c>
      <c r="Z6" s="351" t="str">
        <f>+IFERROR(VLOOKUP(V6&amp;X6,formulas!$C$2:$D$26,2,FALSE),"")</f>
        <v>Moderado</v>
      </c>
      <c r="AA6" s="222">
        <f t="shared" ref="AA6:AA17" si="10">IF(Z6="Bajo",25%,IF(Z6="Moderado",50%,IF(Z6="Alto",75%,IF(Z6="Extremo",100%,""))))</f>
        <v>0.5</v>
      </c>
      <c r="AB6" s="233" t="s">
        <v>664</v>
      </c>
      <c r="AC6" s="124" t="s">
        <v>665</v>
      </c>
      <c r="AD6" s="124" t="s">
        <v>57</v>
      </c>
      <c r="AE6" s="222">
        <f t="shared" si="0"/>
        <v>0.25</v>
      </c>
      <c r="AF6" s="124" t="s">
        <v>229</v>
      </c>
      <c r="AG6" s="222">
        <f t="shared" si="2"/>
        <v>0.15</v>
      </c>
      <c r="AH6" s="222">
        <f t="shared" si="1"/>
        <v>0.4</v>
      </c>
      <c r="AI6" s="124" t="s">
        <v>230</v>
      </c>
      <c r="AJ6" s="494"/>
      <c r="AK6" s="124"/>
      <c r="AL6" s="225">
        <f t="shared" ref="AL6:AL17" si="11">+AA6*AH6</f>
        <v>0.2</v>
      </c>
      <c r="AM6" s="225">
        <f t="shared" ref="AM6:AM17" si="12">+AA6-AL6</f>
        <v>0.3</v>
      </c>
      <c r="AN6" s="351" t="str">
        <f>+IF(C6="Corrupción","Moderado",IF(AM6&lt;=25%,"Bajo",IF(AM6&lt;=50%,"Moderado",IF(AM6&lt;=75%,"Alto",IF(AM6&gt;75%,"Extremo","")))))</f>
        <v>Moderado</v>
      </c>
      <c r="AO6" s="143" t="s">
        <v>59</v>
      </c>
      <c r="AP6" s="144">
        <v>1</v>
      </c>
      <c r="AQ6" s="124" t="s">
        <v>271</v>
      </c>
      <c r="AR6" s="124" t="s">
        <v>272</v>
      </c>
      <c r="AS6" s="149"/>
      <c r="AT6" s="149"/>
      <c r="AU6" s="124"/>
      <c r="AV6" s="124"/>
      <c r="AW6" s="124"/>
      <c r="AX6" s="124"/>
      <c r="AY6" s="124"/>
      <c r="AZ6" s="124"/>
      <c r="BA6" s="124"/>
      <c r="BB6" s="124"/>
      <c r="BC6" s="124"/>
      <c r="BD6" s="124"/>
      <c r="BE6" s="124"/>
      <c r="BF6" s="180"/>
      <c r="BG6" s="180"/>
    </row>
    <row r="7" spans="1:59" ht="112.15" customHeight="1">
      <c r="A7" s="964" t="s">
        <v>231</v>
      </c>
      <c r="B7" s="967" t="s">
        <v>85</v>
      </c>
      <c r="C7" s="967" t="s">
        <v>152</v>
      </c>
      <c r="D7" s="967" t="s">
        <v>79</v>
      </c>
      <c r="E7" s="967" t="s">
        <v>96</v>
      </c>
      <c r="F7" s="972" t="s">
        <v>666</v>
      </c>
      <c r="G7" s="975" t="s">
        <v>667</v>
      </c>
      <c r="H7" s="972" t="s">
        <v>668</v>
      </c>
      <c r="I7" s="972" t="s">
        <v>669</v>
      </c>
      <c r="J7" s="967" t="s">
        <v>33</v>
      </c>
      <c r="K7" s="967">
        <v>1</v>
      </c>
      <c r="L7" s="978">
        <f t="shared" si="3"/>
        <v>2.7777777777777779E-3</v>
      </c>
      <c r="M7" s="967" t="s">
        <v>30</v>
      </c>
      <c r="N7" s="978">
        <f t="shared" si="4"/>
        <v>0.2</v>
      </c>
      <c r="O7" s="967" t="s">
        <v>31</v>
      </c>
      <c r="P7" s="978">
        <f t="shared" si="5"/>
        <v>0.2</v>
      </c>
      <c r="Q7" s="980" t="s">
        <v>73</v>
      </c>
      <c r="R7" s="979">
        <f t="shared" si="6"/>
        <v>0</v>
      </c>
      <c r="S7" s="981" t="s">
        <v>60</v>
      </c>
      <c r="T7" s="964" t="s">
        <v>73</v>
      </c>
      <c r="U7" s="978">
        <f t="shared" si="7"/>
        <v>0.2</v>
      </c>
      <c r="V7" s="914" t="str">
        <f t="shared" si="8"/>
        <v>Muy baja</v>
      </c>
      <c r="W7" s="978">
        <f>+IFERROR(VLOOKUP(V7,formulas!$F$1:$G$6,2,FALSE),"")</f>
        <v>0.2</v>
      </c>
      <c r="X7" s="820" t="str">
        <f t="shared" si="9"/>
        <v>Leve</v>
      </c>
      <c r="Y7" s="978">
        <f>+IFERROR(VLOOKUP(X7,formulas!$H$1:$I$6,2,FALSE),"")</f>
        <v>0.2</v>
      </c>
      <c r="Z7" s="820" t="str">
        <f>+IFERROR(VLOOKUP(V7&amp;X7,formulas!$C$2:$D$26,2,FALSE),"")</f>
        <v>Bajo</v>
      </c>
      <c r="AA7" s="978">
        <f t="shared" si="10"/>
        <v>0.25</v>
      </c>
      <c r="AB7" s="987" t="s">
        <v>670</v>
      </c>
      <c r="AC7" s="677" t="s">
        <v>671</v>
      </c>
      <c r="AD7" s="677" t="s">
        <v>57</v>
      </c>
      <c r="AE7" s="676">
        <f t="shared" si="0"/>
        <v>0.25</v>
      </c>
      <c r="AF7" s="677" t="s">
        <v>229</v>
      </c>
      <c r="AG7" s="676">
        <f t="shared" si="2"/>
        <v>0.15</v>
      </c>
      <c r="AH7" s="676">
        <f t="shared" si="1"/>
        <v>0.4</v>
      </c>
      <c r="AI7" s="677" t="s">
        <v>230</v>
      </c>
      <c r="AJ7" s="705"/>
      <c r="AK7" s="705"/>
      <c r="AL7" s="181">
        <f t="shared" si="11"/>
        <v>0.1</v>
      </c>
      <c r="AM7" s="181">
        <f t="shared" si="12"/>
        <v>0.15</v>
      </c>
      <c r="AN7" s="820" t="str">
        <f>C7</f>
        <v>Fiscal</v>
      </c>
      <c r="AO7" s="988" t="s">
        <v>59</v>
      </c>
      <c r="AP7" s="145">
        <v>1</v>
      </c>
      <c r="AQ7" s="677" t="s">
        <v>672</v>
      </c>
      <c r="AR7" s="677" t="s">
        <v>673</v>
      </c>
      <c r="AS7" s="498"/>
      <c r="AT7" s="498"/>
      <c r="AU7" s="677"/>
      <c r="AV7" s="677"/>
      <c r="AW7" s="677"/>
      <c r="AX7" s="677"/>
      <c r="AY7" s="677"/>
      <c r="AZ7" s="677"/>
      <c r="BA7" s="677"/>
      <c r="BB7" s="677"/>
      <c r="BC7" s="677"/>
      <c r="BD7" s="677"/>
      <c r="BE7" s="677"/>
      <c r="BF7" s="232"/>
      <c r="BG7" s="232"/>
    </row>
    <row r="8" spans="1:59" ht="112.15" customHeight="1" thickBot="1">
      <c r="A8" s="966"/>
      <c r="B8" s="969"/>
      <c r="C8" s="969"/>
      <c r="D8" s="969"/>
      <c r="E8" s="969"/>
      <c r="F8" s="974"/>
      <c r="G8" s="977"/>
      <c r="H8" s="974"/>
      <c r="I8" s="974"/>
      <c r="J8" s="969"/>
      <c r="K8" s="969"/>
      <c r="L8" s="971"/>
      <c r="M8" s="969"/>
      <c r="N8" s="971"/>
      <c r="O8" s="969"/>
      <c r="P8" s="971"/>
      <c r="Q8" s="969"/>
      <c r="R8" s="971"/>
      <c r="S8" s="966"/>
      <c r="T8" s="966"/>
      <c r="U8" s="971"/>
      <c r="V8" s="913"/>
      <c r="W8" s="971"/>
      <c r="X8" s="822"/>
      <c r="Y8" s="971"/>
      <c r="Z8" s="822"/>
      <c r="AA8" s="971"/>
      <c r="AB8" s="983"/>
      <c r="AC8" s="673" t="s">
        <v>674</v>
      </c>
      <c r="AD8" s="673" t="s">
        <v>57</v>
      </c>
      <c r="AE8" s="671">
        <f t="shared" si="0"/>
        <v>0.25</v>
      </c>
      <c r="AF8" s="673" t="s">
        <v>553</v>
      </c>
      <c r="AG8" s="671">
        <f t="shared" si="2"/>
        <v>0.25</v>
      </c>
      <c r="AH8" s="671">
        <f t="shared" si="1"/>
        <v>0.5</v>
      </c>
      <c r="AI8" s="673" t="s">
        <v>230</v>
      </c>
      <c r="AJ8" s="706"/>
      <c r="AK8" s="706"/>
      <c r="AL8" s="182">
        <f>+AM7*AH8</f>
        <v>7.4999999999999997E-2</v>
      </c>
      <c r="AM8" s="182">
        <f>+AM7-AL8</f>
        <v>7.4999999999999997E-2</v>
      </c>
      <c r="AN8" s="822"/>
      <c r="AO8" s="963"/>
      <c r="AP8" s="146">
        <v>2</v>
      </c>
      <c r="AQ8" s="673" t="s">
        <v>675</v>
      </c>
      <c r="AR8" s="673" t="s">
        <v>676</v>
      </c>
      <c r="AS8" s="497"/>
      <c r="AT8" s="497"/>
      <c r="AU8" s="673"/>
      <c r="AV8" s="673"/>
      <c r="AW8" s="673"/>
      <c r="AX8" s="673"/>
      <c r="AY8" s="673"/>
      <c r="AZ8" s="673"/>
      <c r="BA8" s="673"/>
      <c r="BB8" s="673"/>
      <c r="BC8" s="673"/>
      <c r="BD8" s="673"/>
      <c r="BE8" s="673"/>
      <c r="BF8" s="713"/>
      <c r="BG8" s="713"/>
    </row>
    <row r="9" spans="1:59" ht="63.75" customHeight="1">
      <c r="A9" s="964" t="s">
        <v>231</v>
      </c>
      <c r="B9" s="967" t="s">
        <v>85</v>
      </c>
      <c r="C9" s="967" t="s">
        <v>92</v>
      </c>
      <c r="D9" s="967" t="s">
        <v>18</v>
      </c>
      <c r="E9" s="967" t="s">
        <v>96</v>
      </c>
      <c r="F9" s="972" t="s">
        <v>677</v>
      </c>
      <c r="G9" s="975" t="s">
        <v>678</v>
      </c>
      <c r="H9" s="967" t="s">
        <v>679</v>
      </c>
      <c r="I9" s="967" t="s">
        <v>680</v>
      </c>
      <c r="J9" s="967" t="s">
        <v>50</v>
      </c>
      <c r="K9" s="967">
        <v>15</v>
      </c>
      <c r="L9" s="978">
        <f t="shared" si="3"/>
        <v>0.28846153846153844</v>
      </c>
      <c r="M9" s="967" t="s">
        <v>63</v>
      </c>
      <c r="N9" s="978">
        <f t="shared" si="4"/>
        <v>0.6</v>
      </c>
      <c r="O9" s="967" t="s">
        <v>48</v>
      </c>
      <c r="P9" s="978">
        <f t="shared" si="5"/>
        <v>0.4</v>
      </c>
      <c r="Q9" s="967" t="s">
        <v>73</v>
      </c>
      <c r="R9" s="978">
        <f t="shared" si="6"/>
        <v>0</v>
      </c>
      <c r="S9" s="964" t="s">
        <v>60</v>
      </c>
      <c r="T9" s="981" t="s">
        <v>73</v>
      </c>
      <c r="U9" s="979">
        <f t="shared" si="7"/>
        <v>0.6</v>
      </c>
      <c r="V9" s="915" t="str">
        <f t="shared" si="8"/>
        <v>Baja</v>
      </c>
      <c r="W9" s="979">
        <f>+IFERROR(VLOOKUP(V9,formulas!$F$1:$G$6,2,FALSE),"")</f>
        <v>0.4</v>
      </c>
      <c r="X9" s="821" t="str">
        <f t="shared" si="9"/>
        <v>Moderado</v>
      </c>
      <c r="Y9" s="979">
        <f>+IFERROR(VLOOKUP(X9,formulas!$H$1:$I$6,2,FALSE),"")</f>
        <v>0.6</v>
      </c>
      <c r="Z9" s="821" t="str">
        <f>+IFERROR(VLOOKUP(V9&amp;X9,formulas!$C$2:$D$26,2,FALSE),"")</f>
        <v>Moderado</v>
      </c>
      <c r="AA9" s="979">
        <f t="shared" si="10"/>
        <v>0.5</v>
      </c>
      <c r="AB9" s="984" t="s">
        <v>681</v>
      </c>
      <c r="AC9" s="102" t="s">
        <v>682</v>
      </c>
      <c r="AD9" s="683" t="s">
        <v>57</v>
      </c>
      <c r="AE9" s="682">
        <f t="shared" si="0"/>
        <v>0.25</v>
      </c>
      <c r="AF9" s="683" t="s">
        <v>229</v>
      </c>
      <c r="AG9" s="682">
        <f t="shared" si="2"/>
        <v>0.15</v>
      </c>
      <c r="AH9" s="682">
        <f t="shared" si="1"/>
        <v>0.4</v>
      </c>
      <c r="AI9" s="683" t="s">
        <v>230</v>
      </c>
      <c r="AJ9" s="495"/>
      <c r="AK9" s="495"/>
      <c r="AL9" s="459">
        <f t="shared" si="11"/>
        <v>0.2</v>
      </c>
      <c r="AM9" s="459">
        <f t="shared" si="12"/>
        <v>0.3</v>
      </c>
      <c r="AN9" s="821" t="str">
        <f>+IF(C9="Corrupción","Moderado",IF(AM12&lt;=25%,"Bajo",IF(AM12&lt;=50%,"Moderado",IF(AM12&lt;=75%,"Alto",IF(AM12&gt;75%,"Extremo","")))))</f>
        <v>Bajo</v>
      </c>
      <c r="AO9" s="961" t="s">
        <v>59</v>
      </c>
      <c r="AP9" s="145">
        <v>3</v>
      </c>
      <c r="AQ9" s="677" t="s">
        <v>683</v>
      </c>
      <c r="AR9" s="677" t="s">
        <v>684</v>
      </c>
      <c r="AS9" s="498"/>
      <c r="AT9" s="498"/>
      <c r="AU9" s="677"/>
      <c r="AV9" s="677"/>
      <c r="AW9" s="677"/>
      <c r="AX9" s="677"/>
      <c r="AY9" s="677"/>
      <c r="AZ9" s="677"/>
      <c r="BA9" s="677"/>
      <c r="BB9" s="677"/>
      <c r="BC9" s="677"/>
      <c r="BD9" s="677"/>
      <c r="BE9" s="677"/>
      <c r="BF9" s="232"/>
      <c r="BG9" s="232"/>
    </row>
    <row r="10" spans="1:59" ht="72.75" customHeight="1">
      <c r="A10" s="965"/>
      <c r="B10" s="968"/>
      <c r="C10" s="968"/>
      <c r="D10" s="968"/>
      <c r="E10" s="968"/>
      <c r="F10" s="973"/>
      <c r="G10" s="976"/>
      <c r="H10" s="968"/>
      <c r="I10" s="968"/>
      <c r="J10" s="968"/>
      <c r="K10" s="968"/>
      <c r="L10" s="970"/>
      <c r="M10" s="968"/>
      <c r="N10" s="970"/>
      <c r="O10" s="968"/>
      <c r="P10" s="970"/>
      <c r="Q10" s="968"/>
      <c r="R10" s="970"/>
      <c r="S10" s="965"/>
      <c r="T10" s="965"/>
      <c r="U10" s="970"/>
      <c r="V10" s="915"/>
      <c r="W10" s="970"/>
      <c r="X10" s="821"/>
      <c r="Y10" s="970"/>
      <c r="Z10" s="821"/>
      <c r="AA10" s="970"/>
      <c r="AB10" s="982"/>
      <c r="AC10" s="672" t="s">
        <v>685</v>
      </c>
      <c r="AD10" s="672" t="s">
        <v>57</v>
      </c>
      <c r="AE10" s="670">
        <f t="shared" si="0"/>
        <v>0.25</v>
      </c>
      <c r="AF10" s="672" t="s">
        <v>229</v>
      </c>
      <c r="AG10" s="670">
        <f t="shared" si="2"/>
        <v>0.15</v>
      </c>
      <c r="AH10" s="670">
        <f t="shared" si="1"/>
        <v>0.4</v>
      </c>
      <c r="AI10" s="672" t="s">
        <v>230</v>
      </c>
      <c r="AJ10" s="493"/>
      <c r="AK10" s="493"/>
      <c r="AL10" s="74">
        <f>+AM9*AH10</f>
        <v>0.12</v>
      </c>
      <c r="AM10" s="74">
        <f>+AM9-AL10</f>
        <v>0.18</v>
      </c>
      <c r="AN10" s="821"/>
      <c r="AO10" s="962"/>
      <c r="AP10" s="147">
        <v>4</v>
      </c>
      <c r="AQ10" s="672" t="s">
        <v>686</v>
      </c>
      <c r="AR10" s="672" t="s">
        <v>684</v>
      </c>
      <c r="AS10" s="496"/>
      <c r="AT10" s="496"/>
      <c r="AU10" s="672"/>
      <c r="AV10" s="672"/>
      <c r="AW10" s="672"/>
      <c r="AX10" s="672"/>
      <c r="AY10" s="672"/>
      <c r="AZ10" s="672"/>
      <c r="BA10" s="672"/>
      <c r="BB10" s="672"/>
      <c r="BC10" s="672"/>
      <c r="BD10" s="672"/>
      <c r="BE10" s="672"/>
      <c r="BF10" s="240"/>
      <c r="BG10" s="240"/>
    </row>
    <row r="11" spans="1:59" ht="75.75" customHeight="1">
      <c r="A11" s="965"/>
      <c r="B11" s="968"/>
      <c r="C11" s="968"/>
      <c r="D11" s="968"/>
      <c r="E11" s="968"/>
      <c r="F11" s="973"/>
      <c r="G11" s="976"/>
      <c r="H11" s="968"/>
      <c r="I11" s="968"/>
      <c r="J11" s="968"/>
      <c r="K11" s="968"/>
      <c r="L11" s="970"/>
      <c r="M11" s="968"/>
      <c r="N11" s="970"/>
      <c r="O11" s="968"/>
      <c r="P11" s="970"/>
      <c r="Q11" s="968"/>
      <c r="R11" s="970"/>
      <c r="S11" s="965"/>
      <c r="T11" s="965"/>
      <c r="U11" s="970"/>
      <c r="V11" s="915"/>
      <c r="W11" s="970"/>
      <c r="X11" s="821"/>
      <c r="Y11" s="970"/>
      <c r="Z11" s="821"/>
      <c r="AA11" s="970"/>
      <c r="AB11" s="982"/>
      <c r="AC11" s="700" t="s">
        <v>687</v>
      </c>
      <c r="AD11" s="672" t="s">
        <v>57</v>
      </c>
      <c r="AE11" s="670">
        <f t="shared" si="0"/>
        <v>0.25</v>
      </c>
      <c r="AF11" s="672" t="s">
        <v>229</v>
      </c>
      <c r="AG11" s="670">
        <f t="shared" si="2"/>
        <v>0.15</v>
      </c>
      <c r="AH11" s="670">
        <f t="shared" si="1"/>
        <v>0.4</v>
      </c>
      <c r="AI11" s="672" t="s">
        <v>230</v>
      </c>
      <c r="AJ11" s="493"/>
      <c r="AK11" s="493"/>
      <c r="AL11" s="74">
        <f>+AM10*AH11</f>
        <v>7.1999999999999995E-2</v>
      </c>
      <c r="AM11" s="74">
        <f>+AM10-AL11</f>
        <v>0.108</v>
      </c>
      <c r="AN11" s="821"/>
      <c r="AO11" s="962"/>
      <c r="AP11" s="147">
        <v>5</v>
      </c>
      <c r="AQ11" s="672" t="s">
        <v>688</v>
      </c>
      <c r="AR11" s="672" t="s">
        <v>689</v>
      </c>
      <c r="AS11" s="496"/>
      <c r="AT11" s="496"/>
      <c r="AU11" s="672"/>
      <c r="AV11" s="672"/>
      <c r="AW11" s="672"/>
      <c r="AX11" s="672"/>
      <c r="AY11" s="672"/>
      <c r="AZ11" s="672"/>
      <c r="BA11" s="672"/>
      <c r="BB11" s="672"/>
      <c r="BC11" s="672"/>
      <c r="BD11" s="672"/>
      <c r="BE11" s="672"/>
      <c r="BF11" s="240"/>
      <c r="BG11" s="240"/>
    </row>
    <row r="12" spans="1:59" ht="57.75" customHeight="1" thickBot="1">
      <c r="A12" s="966"/>
      <c r="B12" s="969"/>
      <c r="C12" s="969"/>
      <c r="D12" s="969"/>
      <c r="E12" s="969"/>
      <c r="F12" s="974"/>
      <c r="G12" s="977"/>
      <c r="H12" s="969"/>
      <c r="I12" s="969"/>
      <c r="J12" s="969"/>
      <c r="K12" s="969"/>
      <c r="L12" s="971"/>
      <c r="M12" s="969"/>
      <c r="N12" s="971"/>
      <c r="O12" s="969"/>
      <c r="P12" s="971"/>
      <c r="Q12" s="969"/>
      <c r="R12" s="971"/>
      <c r="S12" s="966"/>
      <c r="T12" s="966"/>
      <c r="U12" s="971"/>
      <c r="V12" s="913"/>
      <c r="W12" s="971"/>
      <c r="X12" s="822"/>
      <c r="Y12" s="971"/>
      <c r="Z12" s="822"/>
      <c r="AA12" s="971"/>
      <c r="AB12" s="983"/>
      <c r="AC12" s="673" t="s">
        <v>690</v>
      </c>
      <c r="AD12" s="673" t="s">
        <v>39</v>
      </c>
      <c r="AE12" s="671">
        <f t="shared" si="0"/>
        <v>0.15</v>
      </c>
      <c r="AF12" s="673" t="s">
        <v>229</v>
      </c>
      <c r="AG12" s="671">
        <f t="shared" si="2"/>
        <v>0.15</v>
      </c>
      <c r="AH12" s="671">
        <f t="shared" si="1"/>
        <v>0.3</v>
      </c>
      <c r="AI12" s="673" t="s">
        <v>230</v>
      </c>
      <c r="AJ12" s="673"/>
      <c r="AK12" s="673"/>
      <c r="AL12" s="182">
        <f>+AM11*AH12</f>
        <v>3.2399999999999998E-2</v>
      </c>
      <c r="AM12" s="182">
        <f>+AM11-AL12</f>
        <v>7.5600000000000001E-2</v>
      </c>
      <c r="AN12" s="822"/>
      <c r="AO12" s="963"/>
      <c r="AP12" s="673">
        <v>6</v>
      </c>
      <c r="AQ12" s="673" t="s">
        <v>691</v>
      </c>
      <c r="AR12" s="673" t="s">
        <v>692</v>
      </c>
      <c r="AS12" s="499"/>
      <c r="AT12" s="499"/>
      <c r="AU12" s="713"/>
      <c r="AV12" s="713"/>
      <c r="AW12" s="713"/>
      <c r="AX12" s="713"/>
      <c r="AY12" s="713"/>
      <c r="AZ12" s="713"/>
      <c r="BA12" s="713"/>
      <c r="BB12" s="713"/>
      <c r="BC12" s="713"/>
      <c r="BD12" s="713"/>
      <c r="BE12" s="713"/>
      <c r="BF12" s="713"/>
      <c r="BG12" s="713"/>
    </row>
    <row r="13" spans="1:59" ht="112.15" customHeight="1" thickBot="1">
      <c r="A13" s="143" t="s">
        <v>231</v>
      </c>
      <c r="B13" s="124" t="s">
        <v>85</v>
      </c>
      <c r="C13" s="124" t="s">
        <v>92</v>
      </c>
      <c r="D13" s="124" t="s">
        <v>79</v>
      </c>
      <c r="E13" s="124" t="s">
        <v>36</v>
      </c>
      <c r="F13" s="125" t="s">
        <v>519</v>
      </c>
      <c r="G13" s="124" t="s">
        <v>520</v>
      </c>
      <c r="H13" s="124" t="s">
        <v>521</v>
      </c>
      <c r="I13" s="124" t="s">
        <v>522</v>
      </c>
      <c r="J13" s="124" t="s">
        <v>66</v>
      </c>
      <c r="K13" s="124">
        <v>1</v>
      </c>
      <c r="L13" s="222">
        <f t="shared" si="3"/>
        <v>8.3333333333333329E-2</v>
      </c>
      <c r="M13" s="124" t="s">
        <v>30</v>
      </c>
      <c r="N13" s="222">
        <f t="shared" si="4"/>
        <v>0.2</v>
      </c>
      <c r="O13" s="124" t="s">
        <v>64</v>
      </c>
      <c r="P13" s="222">
        <f t="shared" si="5"/>
        <v>0.6</v>
      </c>
      <c r="Q13" s="124" t="s">
        <v>73</v>
      </c>
      <c r="R13" s="684">
        <f t="shared" si="6"/>
        <v>0</v>
      </c>
      <c r="S13" s="150" t="s">
        <v>60</v>
      </c>
      <c r="T13" s="143" t="s">
        <v>45</v>
      </c>
      <c r="U13" s="222">
        <f t="shared" si="7"/>
        <v>0.6</v>
      </c>
      <c r="V13" s="425" t="str">
        <f t="shared" si="8"/>
        <v>Muy baja</v>
      </c>
      <c r="W13" s="222">
        <f>+IFERROR(VLOOKUP(V13,formulas!$F$1:$G$6,2,FALSE),"")</f>
        <v>0.2</v>
      </c>
      <c r="X13" s="351" t="str">
        <f t="shared" si="9"/>
        <v>Moderado</v>
      </c>
      <c r="Y13" s="222">
        <f>+IFERROR(VLOOKUP(X13,formulas!$H$1:$I$6,2,FALSE),"")</f>
        <v>0.6</v>
      </c>
      <c r="Z13" s="351" t="str">
        <f>+IFERROR(VLOOKUP(V13&amp;X13,formulas!$C$2:$D$26,2,FALSE),"")</f>
        <v>Moderado</v>
      </c>
      <c r="AA13" s="222">
        <f t="shared" si="10"/>
        <v>0.5</v>
      </c>
      <c r="AB13" s="233" t="s">
        <v>523</v>
      </c>
      <c r="AC13" s="180" t="s">
        <v>693</v>
      </c>
      <c r="AD13" s="124" t="s">
        <v>57</v>
      </c>
      <c r="AE13" s="222">
        <f t="shared" si="0"/>
        <v>0.25</v>
      </c>
      <c r="AF13" s="124" t="s">
        <v>229</v>
      </c>
      <c r="AG13" s="222">
        <f t="shared" si="2"/>
        <v>0.15</v>
      </c>
      <c r="AH13" s="222">
        <f t="shared" si="1"/>
        <v>0.4</v>
      </c>
      <c r="AI13" s="124" t="s">
        <v>230</v>
      </c>
      <c r="AJ13" s="124" t="s">
        <v>24</v>
      </c>
      <c r="AK13" s="124"/>
      <c r="AL13" s="225">
        <f t="shared" si="11"/>
        <v>0.2</v>
      </c>
      <c r="AM13" s="225">
        <f t="shared" si="12"/>
        <v>0.3</v>
      </c>
      <c r="AN13" s="351" t="str">
        <f>+IF(C13="Corrupción","Moderado",IF(AM13&lt;=25%,"Bajo",IF(AM13&lt;=50%,"Moderado",IF(AM13&lt;=75%,"Alto",IF(AM13&gt;75%,"Extremo","")))))</f>
        <v>Moderado</v>
      </c>
      <c r="AO13" s="143" t="s">
        <v>59</v>
      </c>
      <c r="AP13" s="234">
        <v>1</v>
      </c>
      <c r="AQ13" s="124" t="s">
        <v>694</v>
      </c>
      <c r="AR13" s="148" t="s">
        <v>607</v>
      </c>
      <c r="AS13" s="149" t="s">
        <v>695</v>
      </c>
      <c r="AT13" s="500"/>
      <c r="AU13" s="180"/>
      <c r="AV13" s="180"/>
      <c r="AW13" s="180"/>
      <c r="AX13" s="180"/>
      <c r="AY13" s="180"/>
      <c r="AZ13" s="180"/>
      <c r="BA13" s="180"/>
      <c r="BB13" s="180"/>
      <c r="BC13" s="180"/>
      <c r="BD13" s="180"/>
      <c r="BE13" s="180"/>
      <c r="BF13" s="180"/>
      <c r="BG13" s="180"/>
    </row>
    <row r="14" spans="1:59" ht="112.15" customHeight="1" thickBot="1">
      <c r="A14" s="143" t="s">
        <v>231</v>
      </c>
      <c r="B14" s="124" t="s">
        <v>85</v>
      </c>
      <c r="C14" s="124" t="s">
        <v>152</v>
      </c>
      <c r="D14" s="124" t="s">
        <v>79</v>
      </c>
      <c r="E14" s="124" t="s">
        <v>96</v>
      </c>
      <c r="F14" s="125" t="s">
        <v>696</v>
      </c>
      <c r="G14" s="134" t="s">
        <v>697</v>
      </c>
      <c r="H14" s="124" t="s">
        <v>698</v>
      </c>
      <c r="I14" s="124" t="s">
        <v>699</v>
      </c>
      <c r="J14" s="124" t="s">
        <v>33</v>
      </c>
      <c r="K14" s="124">
        <v>1</v>
      </c>
      <c r="L14" s="222">
        <f t="shared" si="3"/>
        <v>2.7777777777777779E-3</v>
      </c>
      <c r="M14" s="124" t="s">
        <v>30</v>
      </c>
      <c r="N14" s="222">
        <f t="shared" si="4"/>
        <v>0.2</v>
      </c>
      <c r="O14" s="124" t="s">
        <v>31</v>
      </c>
      <c r="P14" s="222">
        <f t="shared" si="5"/>
        <v>0.2</v>
      </c>
      <c r="Q14" s="124" t="s">
        <v>73</v>
      </c>
      <c r="R14" s="222">
        <f t="shared" si="6"/>
        <v>0</v>
      </c>
      <c r="S14" s="143" t="s">
        <v>60</v>
      </c>
      <c r="T14" s="143" t="s">
        <v>73</v>
      </c>
      <c r="U14" s="222">
        <f t="shared" si="7"/>
        <v>0.2</v>
      </c>
      <c r="V14" s="425" t="str">
        <f t="shared" si="8"/>
        <v>Muy baja</v>
      </c>
      <c r="W14" s="222">
        <f>+IFERROR(VLOOKUP(V14,formulas!$F$1:$G$6,2,FALSE),"")</f>
        <v>0.2</v>
      </c>
      <c r="X14" s="351" t="str">
        <f t="shared" si="9"/>
        <v>Leve</v>
      </c>
      <c r="Y14" s="222">
        <f>+IFERROR(VLOOKUP(X14,formulas!$H$1:$I$6,2,FALSE),"")</f>
        <v>0.2</v>
      </c>
      <c r="Z14" s="351" t="str">
        <f>+IFERROR(VLOOKUP(V14&amp;X14,formulas!$C$2:$D$26,2,FALSE),"")</f>
        <v>Bajo</v>
      </c>
      <c r="AA14" s="222">
        <f t="shared" si="10"/>
        <v>0.25</v>
      </c>
      <c r="AB14" s="233" t="s">
        <v>700</v>
      </c>
      <c r="AC14" s="135" t="s">
        <v>701</v>
      </c>
      <c r="AD14" s="124" t="s">
        <v>22</v>
      </c>
      <c r="AE14" s="222">
        <f t="shared" si="0"/>
        <v>0.1</v>
      </c>
      <c r="AF14" s="124" t="s">
        <v>229</v>
      </c>
      <c r="AG14" s="222">
        <f t="shared" si="2"/>
        <v>0.15</v>
      </c>
      <c r="AH14" s="222">
        <f t="shared" si="1"/>
        <v>0.25</v>
      </c>
      <c r="AI14" s="124" t="s">
        <v>230</v>
      </c>
      <c r="AJ14" s="124"/>
      <c r="AK14" s="124"/>
      <c r="AL14" s="225">
        <f t="shared" si="11"/>
        <v>6.25E-2</v>
      </c>
      <c r="AM14" s="225">
        <f t="shared" si="12"/>
        <v>0.1875</v>
      </c>
      <c r="AN14" s="351" t="str">
        <f>+IF(C14="Corrupción","Moderado",IF(AM14&lt;=25%,"Bajo",IF(AM14&lt;=50%,"Moderado",IF(AM14&lt;=75%,"Alto",IF(AM14&gt;75%,"Extremo","")))))</f>
        <v>Bajo</v>
      </c>
      <c r="AO14" s="143" t="s">
        <v>59</v>
      </c>
      <c r="AP14" s="234">
        <v>1</v>
      </c>
      <c r="AQ14" s="124" t="s">
        <v>672</v>
      </c>
      <c r="AR14" s="124" t="s">
        <v>673</v>
      </c>
      <c r="AS14" s="500"/>
      <c r="AT14" s="500"/>
      <c r="AU14" s="180"/>
      <c r="AV14" s="180"/>
      <c r="AW14" s="180"/>
      <c r="AX14" s="180"/>
      <c r="AY14" s="180"/>
      <c r="AZ14" s="180"/>
      <c r="BA14" s="180"/>
      <c r="BB14" s="180"/>
      <c r="BC14" s="180"/>
      <c r="BD14" s="180"/>
      <c r="BE14" s="180"/>
      <c r="BF14" s="180"/>
      <c r="BG14" s="180"/>
    </row>
    <row r="15" spans="1:59" ht="170.25" customHeight="1" thickBot="1">
      <c r="A15" s="143" t="s">
        <v>231</v>
      </c>
      <c r="B15" s="124" t="s">
        <v>156</v>
      </c>
      <c r="C15" s="124" t="s">
        <v>702</v>
      </c>
      <c r="D15" s="124" t="s">
        <v>582</v>
      </c>
      <c r="E15" s="124" t="s">
        <v>80</v>
      </c>
      <c r="F15" s="125" t="s">
        <v>703</v>
      </c>
      <c r="G15" s="124" t="s">
        <v>704</v>
      </c>
      <c r="H15" s="124" t="s">
        <v>705</v>
      </c>
      <c r="I15" s="124" t="s">
        <v>643</v>
      </c>
      <c r="J15" s="124" t="s">
        <v>33</v>
      </c>
      <c r="K15" s="124">
        <v>72</v>
      </c>
      <c r="L15" s="222">
        <f t="shared" si="3"/>
        <v>0.2</v>
      </c>
      <c r="M15" s="124" t="s">
        <v>30</v>
      </c>
      <c r="N15" s="222">
        <f t="shared" si="4"/>
        <v>0.2</v>
      </c>
      <c r="O15" s="124" t="s">
        <v>87</v>
      </c>
      <c r="P15" s="222">
        <f t="shared" si="5"/>
        <v>1</v>
      </c>
      <c r="Q15" s="124" t="s">
        <v>73</v>
      </c>
      <c r="R15" s="222">
        <f t="shared" si="6"/>
        <v>0</v>
      </c>
      <c r="S15" s="143" t="s">
        <v>72</v>
      </c>
      <c r="T15" s="143" t="s">
        <v>28</v>
      </c>
      <c r="U15" s="222">
        <f t="shared" si="7"/>
        <v>1</v>
      </c>
      <c r="V15" s="425" t="str">
        <f t="shared" si="8"/>
        <v>Muy baja</v>
      </c>
      <c r="W15" s="222">
        <f>+IFERROR(VLOOKUP(V15,formulas!$F$1:$G$6,2,FALSE),"")</f>
        <v>0.2</v>
      </c>
      <c r="X15" s="351" t="str">
        <f t="shared" si="9"/>
        <v>Catastrófico</v>
      </c>
      <c r="Y15" s="222">
        <f>+IFERROR(VLOOKUP(X15,formulas!$H$1:$I$6,2,FALSE),"")</f>
        <v>1</v>
      </c>
      <c r="Z15" s="351" t="str">
        <f>+IFERROR(VLOOKUP(V15&amp;X15,formulas!$C$2:$D$26,2,FALSE),"")</f>
        <v>Extremo</v>
      </c>
      <c r="AA15" s="222">
        <f t="shared" si="10"/>
        <v>1</v>
      </c>
      <c r="AB15" s="235" t="s">
        <v>706</v>
      </c>
      <c r="AC15" s="135" t="s">
        <v>707</v>
      </c>
      <c r="AD15" s="124" t="s">
        <v>57</v>
      </c>
      <c r="AE15" s="222">
        <f t="shared" si="0"/>
        <v>0.25</v>
      </c>
      <c r="AF15" s="124" t="s">
        <v>229</v>
      </c>
      <c r="AG15" s="222">
        <f t="shared" si="2"/>
        <v>0.15</v>
      </c>
      <c r="AH15" s="222">
        <f t="shared" si="1"/>
        <v>0.4</v>
      </c>
      <c r="AI15" s="124" t="s">
        <v>230</v>
      </c>
      <c r="AJ15" s="124" t="s">
        <v>24</v>
      </c>
      <c r="AK15" s="135"/>
      <c r="AL15" s="225">
        <f t="shared" si="11"/>
        <v>0.4</v>
      </c>
      <c r="AM15" s="225">
        <f t="shared" si="12"/>
        <v>0.6</v>
      </c>
      <c r="AN15" s="351" t="str">
        <f>+IF(C15="Corrupción","Moderado",IF(AM15&lt;=25%,"Bajo",IF(AM15&lt;=50%,"Moderado",IF(AM15&lt;=75%,"Alto",IF(AM15&gt;75%,"Extremo","")))))</f>
        <v>Alto</v>
      </c>
      <c r="AO15" s="150" t="s">
        <v>59</v>
      </c>
      <c r="AP15" s="460">
        <v>1</v>
      </c>
      <c r="AQ15" s="501"/>
      <c r="AR15" s="562" t="s">
        <v>172</v>
      </c>
      <c r="AS15" s="500"/>
      <c r="AT15" s="500"/>
      <c r="AU15" s="180"/>
      <c r="AV15" s="180"/>
      <c r="AW15" s="180"/>
      <c r="AX15" s="180"/>
      <c r="AY15" s="180"/>
      <c r="AZ15" s="180"/>
      <c r="BA15" s="180"/>
      <c r="BB15" s="180"/>
      <c r="BC15" s="180"/>
      <c r="BD15" s="180"/>
      <c r="BE15" s="180"/>
      <c r="BF15" s="180"/>
      <c r="BG15" s="180"/>
    </row>
    <row r="16" spans="1:59" ht="204" customHeight="1" thickBot="1">
      <c r="A16" s="143" t="s">
        <v>51</v>
      </c>
      <c r="B16" s="124" t="s">
        <v>541</v>
      </c>
      <c r="C16" s="124" t="s">
        <v>58</v>
      </c>
      <c r="D16" s="124" t="s">
        <v>79</v>
      </c>
      <c r="E16" s="124" t="s">
        <v>80</v>
      </c>
      <c r="F16" s="125" t="s">
        <v>542</v>
      </c>
      <c r="G16" s="228" t="s">
        <v>457</v>
      </c>
      <c r="H16" s="124" t="s">
        <v>543</v>
      </c>
      <c r="I16" s="124" t="s">
        <v>544</v>
      </c>
      <c r="J16" s="229" t="s">
        <v>95</v>
      </c>
      <c r="K16" s="135">
        <v>1</v>
      </c>
      <c r="L16" s="222">
        <f t="shared" si="3"/>
        <v>0.5</v>
      </c>
      <c r="M16" s="135" t="s">
        <v>47</v>
      </c>
      <c r="N16" s="222">
        <f t="shared" si="4"/>
        <v>0.4</v>
      </c>
      <c r="O16" s="230" t="s">
        <v>76</v>
      </c>
      <c r="P16" s="222">
        <f t="shared" si="5"/>
        <v>0.8</v>
      </c>
      <c r="Q16" s="135" t="s">
        <v>73</v>
      </c>
      <c r="R16" s="222">
        <f t="shared" si="6"/>
        <v>0</v>
      </c>
      <c r="S16" s="231" t="s">
        <v>60</v>
      </c>
      <c r="T16" s="231" t="s">
        <v>73</v>
      </c>
      <c r="U16" s="222">
        <f t="shared" si="7"/>
        <v>0.8</v>
      </c>
      <c r="V16" s="425" t="str">
        <f t="shared" si="8"/>
        <v>Media</v>
      </c>
      <c r="W16" s="222">
        <f>+IFERROR(VLOOKUP(V16,formulas!$F$1:$G$6,2,FALSE),"")</f>
        <v>0.6</v>
      </c>
      <c r="X16" s="351" t="str">
        <f t="shared" si="9"/>
        <v>Mayor</v>
      </c>
      <c r="Y16" s="222">
        <f>+IFERROR(VLOOKUP(X16,formulas!$H$1:$I$6,2,FALSE),"")</f>
        <v>0.8</v>
      </c>
      <c r="Z16" s="351" t="str">
        <f>+IFERROR(VLOOKUP(V16&amp;X16,formulas!$C$2:$D$26,2,FALSE),"")</f>
        <v>Alto</v>
      </c>
      <c r="AA16" s="222">
        <f t="shared" si="10"/>
        <v>0.75</v>
      </c>
      <c r="AB16" s="236"/>
      <c r="AC16" s="135" t="s">
        <v>545</v>
      </c>
      <c r="AD16" s="135" t="s">
        <v>57</v>
      </c>
      <c r="AE16" s="222">
        <f t="shared" si="0"/>
        <v>0.25</v>
      </c>
      <c r="AF16" s="135" t="s">
        <v>229</v>
      </c>
      <c r="AG16" s="222">
        <f t="shared" si="2"/>
        <v>0.15</v>
      </c>
      <c r="AH16" s="222">
        <f t="shared" si="1"/>
        <v>0.4</v>
      </c>
      <c r="AI16" s="135" t="s">
        <v>230</v>
      </c>
      <c r="AJ16" s="124" t="s">
        <v>24</v>
      </c>
      <c r="AK16" s="124"/>
      <c r="AL16" s="225">
        <f t="shared" si="11"/>
        <v>0.30000000000000004</v>
      </c>
      <c r="AM16" s="225">
        <f t="shared" si="12"/>
        <v>0.44999999999999996</v>
      </c>
      <c r="AN16" s="351" t="str">
        <f>+IF(C16="Corrupción","Moderado",IF(AM16&lt;=25%,"Bajo",IF(AM16&lt;=50%,"Moderado",IF(AM16&lt;=75%,"Alto",IF(AM16&gt;75%,"Extremo","")))))</f>
        <v>Moderado</v>
      </c>
      <c r="AO16" s="143" t="s">
        <v>59</v>
      </c>
      <c r="AP16" s="135">
        <v>1</v>
      </c>
      <c r="AQ16" s="134"/>
      <c r="AR16" s="149"/>
      <c r="AS16" s="500"/>
      <c r="AT16" s="500"/>
      <c r="AU16" s="180"/>
      <c r="AV16" s="180"/>
      <c r="AW16" s="180"/>
      <c r="AX16" s="180"/>
      <c r="AY16" s="180"/>
      <c r="AZ16" s="180"/>
      <c r="BA16" s="180"/>
      <c r="BB16" s="180"/>
      <c r="BC16" s="180"/>
      <c r="BD16" s="180"/>
      <c r="BE16" s="180"/>
      <c r="BF16" s="180"/>
      <c r="BG16" s="180"/>
    </row>
    <row r="17" spans="1:59" ht="112.15" customHeight="1" thickBot="1">
      <c r="A17" s="143" t="s">
        <v>231</v>
      </c>
      <c r="B17" s="124" t="s">
        <v>29</v>
      </c>
      <c r="C17" s="124" t="s">
        <v>92</v>
      </c>
      <c r="D17" s="124" t="s">
        <v>79</v>
      </c>
      <c r="E17" s="124" t="s">
        <v>36</v>
      </c>
      <c r="F17" s="125" t="s">
        <v>547</v>
      </c>
      <c r="G17" s="124" t="s">
        <v>548</v>
      </c>
      <c r="H17" s="126" t="s">
        <v>549</v>
      </c>
      <c r="I17" s="124" t="s">
        <v>550</v>
      </c>
      <c r="J17" s="124" t="s">
        <v>66</v>
      </c>
      <c r="K17" s="124">
        <v>1</v>
      </c>
      <c r="L17" s="222">
        <f t="shared" si="3"/>
        <v>8.3333333333333329E-2</v>
      </c>
      <c r="M17" s="124" t="s">
        <v>73</v>
      </c>
      <c r="N17" s="222">
        <f t="shared" si="4"/>
        <v>0</v>
      </c>
      <c r="O17" s="124" t="s">
        <v>31</v>
      </c>
      <c r="P17" s="222">
        <f t="shared" si="5"/>
        <v>0.2</v>
      </c>
      <c r="Q17" s="124" t="s">
        <v>73</v>
      </c>
      <c r="R17" s="222">
        <f t="shared" si="6"/>
        <v>0</v>
      </c>
      <c r="S17" s="143" t="s">
        <v>60</v>
      </c>
      <c r="T17" s="150" t="s">
        <v>45</v>
      </c>
      <c r="U17" s="222">
        <f t="shared" si="7"/>
        <v>0.2</v>
      </c>
      <c r="V17" s="425" t="str">
        <f t="shared" si="8"/>
        <v>Muy baja</v>
      </c>
      <c r="W17" s="222">
        <f>+IFERROR(VLOOKUP(V17,formulas!$F$1:$G$6,2,FALSE),"")</f>
        <v>0.2</v>
      </c>
      <c r="X17" s="351" t="str">
        <f t="shared" si="9"/>
        <v>Leve</v>
      </c>
      <c r="Y17" s="222">
        <f>+IFERROR(VLOOKUP(X17,formulas!$H$1:$I$6,2,FALSE),"")</f>
        <v>0.2</v>
      </c>
      <c r="Z17" s="351" t="str">
        <f>+IFERROR(VLOOKUP(V17&amp;X17,formulas!$C$2:$D$26,2,FALSE),"")</f>
        <v>Bajo</v>
      </c>
      <c r="AA17" s="222">
        <f t="shared" si="10"/>
        <v>0.25</v>
      </c>
      <c r="AB17" s="233" t="s">
        <v>551</v>
      </c>
      <c r="AC17" s="126" t="s">
        <v>552</v>
      </c>
      <c r="AD17" s="124" t="s">
        <v>57</v>
      </c>
      <c r="AE17" s="222">
        <f t="shared" si="0"/>
        <v>0.25</v>
      </c>
      <c r="AF17" s="124" t="s">
        <v>553</v>
      </c>
      <c r="AG17" s="222">
        <f t="shared" si="2"/>
        <v>0.25</v>
      </c>
      <c r="AH17" s="222">
        <f t="shared" si="1"/>
        <v>0.5</v>
      </c>
      <c r="AI17" s="135" t="s">
        <v>230</v>
      </c>
      <c r="AJ17" s="124" t="s">
        <v>24</v>
      </c>
      <c r="AK17" s="124" t="s">
        <v>554</v>
      </c>
      <c r="AL17" s="225">
        <f t="shared" si="11"/>
        <v>0.125</v>
      </c>
      <c r="AM17" s="225">
        <f t="shared" si="12"/>
        <v>0.125</v>
      </c>
      <c r="AN17" s="351" t="str">
        <f>+IF(C17="Corrupción","Moderado",IF(AM17&lt;=25%,"Bajo",IF(AM17&lt;=50%,"Moderado",IF(AM17&lt;=75%,"Alto",IF(AM17&gt;75%,"Extremo","")))))</f>
        <v>Bajo</v>
      </c>
      <c r="AO17" s="150" t="s">
        <v>59</v>
      </c>
      <c r="AP17" s="180">
        <v>1</v>
      </c>
      <c r="AQ17" s="124"/>
      <c r="AR17" s="180"/>
      <c r="AS17" s="500"/>
      <c r="AT17" s="500"/>
      <c r="AU17" s="180"/>
      <c r="AV17" s="180"/>
      <c r="AW17" s="180"/>
      <c r="AX17" s="180"/>
      <c r="AY17" s="180"/>
      <c r="AZ17" s="180"/>
      <c r="BA17" s="180"/>
      <c r="BB17" s="180"/>
      <c r="BC17" s="180"/>
      <c r="BD17" s="180"/>
      <c r="BE17" s="180"/>
      <c r="BF17" s="180"/>
      <c r="BG17" s="180"/>
    </row>
    <row r="18" spans="1:59" ht="112.15" customHeight="1">
      <c r="W18" s="237"/>
      <c r="Y18" s="237"/>
      <c r="AE18" s="237"/>
      <c r="AF18" s="237"/>
      <c r="AG18" s="237"/>
      <c r="AH18" s="237"/>
      <c r="AM18" s="237"/>
    </row>
    <row r="19" spans="1:59" ht="112.15" customHeight="1">
      <c r="W19" s="237"/>
      <c r="Y19" s="237"/>
      <c r="AE19" s="237"/>
      <c r="AF19" s="237"/>
      <c r="AG19" s="237"/>
      <c r="AH19" s="237"/>
      <c r="AM19" s="237"/>
    </row>
    <row r="20" spans="1:59" ht="112.15" customHeight="1">
      <c r="W20" s="237"/>
      <c r="Y20" s="237"/>
      <c r="AE20" s="237"/>
      <c r="AF20" s="237"/>
      <c r="AG20" s="237"/>
      <c r="AH20" s="237"/>
      <c r="AM20" s="237"/>
    </row>
    <row r="21" spans="1:59" ht="112.15" customHeight="1">
      <c r="W21" s="237"/>
      <c r="Y21" s="237"/>
      <c r="AE21" s="237"/>
      <c r="AF21" s="237"/>
      <c r="AG21" s="237"/>
      <c r="AH21" s="237"/>
      <c r="AM21" s="237"/>
    </row>
    <row r="22" spans="1:59" ht="112.15" customHeight="1">
      <c r="W22" s="237"/>
      <c r="Y22" s="237"/>
      <c r="AE22" s="237"/>
      <c r="AF22" s="237"/>
      <c r="AG22" s="237"/>
      <c r="AH22" s="237"/>
      <c r="AM22" s="237"/>
    </row>
    <row r="23" spans="1:59" ht="112.15" customHeight="1">
      <c r="W23" s="237"/>
      <c r="Y23" s="237"/>
      <c r="AE23" s="237"/>
      <c r="AF23" s="237"/>
      <c r="AG23" s="237"/>
      <c r="AH23" s="237"/>
      <c r="AM23" s="237"/>
    </row>
    <row r="24" spans="1:59" ht="112.15" customHeight="1">
      <c r="W24" s="237"/>
      <c r="Y24" s="237"/>
      <c r="AE24" s="237"/>
      <c r="AF24" s="237"/>
      <c r="AG24" s="237"/>
      <c r="AH24" s="237"/>
      <c r="AM24" s="237"/>
    </row>
    <row r="25" spans="1:59" ht="112.15" customHeight="1">
      <c r="W25" s="237"/>
      <c r="Y25" s="237"/>
      <c r="AE25" s="237"/>
      <c r="AF25" s="237"/>
      <c r="AG25" s="237"/>
      <c r="AH25" s="237"/>
      <c r="AM25" s="237"/>
    </row>
  </sheetData>
  <mergeCells count="111">
    <mergeCell ref="Z7:Z8"/>
    <mergeCell ref="W4:W5"/>
    <mergeCell ref="X4:X5"/>
    <mergeCell ref="Y4:Y5"/>
    <mergeCell ref="Z4:Z5"/>
    <mergeCell ref="AB7:AB8"/>
    <mergeCell ref="AO4:AO5"/>
    <mergeCell ref="AO7:AO8"/>
    <mergeCell ref="AV1:BE1"/>
    <mergeCell ref="AC2:AC3"/>
    <mergeCell ref="AD2:AG2"/>
    <mergeCell ref="AH2:AH3"/>
    <mergeCell ref="AI2:AK2"/>
    <mergeCell ref="AT2:AT3"/>
    <mergeCell ref="U1:AB2"/>
    <mergeCell ref="AC1:AK1"/>
    <mergeCell ref="AM1:AO1"/>
    <mergeCell ref="AP1:AU1"/>
    <mergeCell ref="AU2:AU3"/>
    <mergeCell ref="AV2:AZ2"/>
    <mergeCell ref="BA2:BE2"/>
    <mergeCell ref="G3:H3"/>
    <mergeCell ref="AJ3:AK3"/>
    <mergeCell ref="AL2:AN3"/>
    <mergeCell ref="AO2:AO3"/>
    <mergeCell ref="AP2:AQ3"/>
    <mergeCell ref="AR2:AR3"/>
    <mergeCell ref="AS2:AS3"/>
    <mergeCell ref="A1:T2"/>
    <mergeCell ref="Z9:Z12"/>
    <mergeCell ref="AA9:AA12"/>
    <mergeCell ref="AA4:AA5"/>
    <mergeCell ref="AA7:AA8"/>
    <mergeCell ref="AB4:AB5"/>
    <mergeCell ref="R9:R12"/>
    <mergeCell ref="S9:S12"/>
    <mergeCell ref="T9:T12"/>
    <mergeCell ref="U9:U12"/>
    <mergeCell ref="V9:V12"/>
    <mergeCell ref="W9:W12"/>
    <mergeCell ref="U7:U8"/>
    <mergeCell ref="V7:V8"/>
    <mergeCell ref="U4:U5"/>
    <mergeCell ref="V4:V5"/>
    <mergeCell ref="AB9:AB12"/>
    <mergeCell ref="X9:X12"/>
    <mergeCell ref="Y9:Y12"/>
    <mergeCell ref="S4:S5"/>
    <mergeCell ref="T4:T5"/>
    <mergeCell ref="M7:M8"/>
    <mergeCell ref="N7:N8"/>
    <mergeCell ref="O7:O8"/>
    <mergeCell ref="P7:P8"/>
    <mergeCell ref="O9:O12"/>
    <mergeCell ref="P9:P12"/>
    <mergeCell ref="Q9:Q12"/>
    <mergeCell ref="Q7:Q8"/>
    <mergeCell ref="R7:R8"/>
    <mergeCell ref="S7:S8"/>
    <mergeCell ref="T7:T8"/>
    <mergeCell ref="W7:W8"/>
    <mergeCell ref="X7:X8"/>
    <mergeCell ref="Y7:Y8"/>
    <mergeCell ref="A4:A5"/>
    <mergeCell ref="B4:B5"/>
    <mergeCell ref="C4:C5"/>
    <mergeCell ref="D4:D5"/>
    <mergeCell ref="E4:E5"/>
    <mergeCell ref="F4:F5"/>
    <mergeCell ref="A7:A8"/>
    <mergeCell ref="B7:B8"/>
    <mergeCell ref="C7:C8"/>
    <mergeCell ref="D7:D8"/>
    <mergeCell ref="E7:E8"/>
    <mergeCell ref="F7:F8"/>
    <mergeCell ref="M9:M12"/>
    <mergeCell ref="N9:N12"/>
    <mergeCell ref="G7:G8"/>
    <mergeCell ref="H4:H5"/>
    <mergeCell ref="I4:I5"/>
    <mergeCell ref="H7:H8"/>
    <mergeCell ref="I7:I8"/>
    <mergeCell ref="J7:J8"/>
    <mergeCell ref="K7:K8"/>
    <mergeCell ref="L7:L8"/>
    <mergeCell ref="J9:J12"/>
    <mergeCell ref="K9:K12"/>
    <mergeCell ref="AO9:AO12"/>
    <mergeCell ref="AN4:AN5"/>
    <mergeCell ref="AN7:AN8"/>
    <mergeCell ref="AN9:AN12"/>
    <mergeCell ref="A9:A12"/>
    <mergeCell ref="B9:B12"/>
    <mergeCell ref="C9:C12"/>
    <mergeCell ref="D9:D12"/>
    <mergeCell ref="E9:E12"/>
    <mergeCell ref="P4:P5"/>
    <mergeCell ref="Q4:Q5"/>
    <mergeCell ref="R4:R5"/>
    <mergeCell ref="J4:J5"/>
    <mergeCell ref="K4:K5"/>
    <mergeCell ref="L4:L5"/>
    <mergeCell ref="O4:O5"/>
    <mergeCell ref="F9:F12"/>
    <mergeCell ref="G9:G12"/>
    <mergeCell ref="H9:H12"/>
    <mergeCell ref="I9:I12"/>
    <mergeCell ref="M4:M5"/>
    <mergeCell ref="N4:N5"/>
    <mergeCell ref="G4:G5"/>
    <mergeCell ref="L9:L12"/>
  </mergeCells>
  <conditionalFormatting sqref="V4 V6:V7 V9 V13:V17">
    <cfRule type="expression" dxfId="421" priority="75" stopIfTrue="1">
      <formula>NOT(ISERROR(SEARCH("Muy alta",V4)))</formula>
    </cfRule>
    <cfRule type="expression" dxfId="420" priority="76" stopIfTrue="1">
      <formula>NOT(ISERROR(SEARCH("Alta",V4)))</formula>
    </cfRule>
    <cfRule type="expression" dxfId="419" priority="77" stopIfTrue="1">
      <formula>NOT(ISERROR(SEARCH("Media",V4)))</formula>
    </cfRule>
  </conditionalFormatting>
  <conditionalFormatting sqref="X4 X6:X7 X9 X13:X17">
    <cfRule type="containsText" dxfId="418" priority="9" operator="containsText" text="Catastrófico">
      <formula>NOT(ISERROR(SEARCH("Catastrófico",X4)))</formula>
    </cfRule>
    <cfRule type="containsText" dxfId="417" priority="10" operator="containsText" text="Mayor">
      <formula>NOT(ISERROR(SEARCH("Mayor",X4)))</formula>
    </cfRule>
    <cfRule type="containsText" dxfId="416" priority="11" operator="containsText" text="Moderado">
      <formula>NOT(ISERROR(SEARCH("Moderado",X4)))</formula>
    </cfRule>
    <cfRule type="containsText" dxfId="415" priority="12" operator="containsText" text="Menor">
      <formula>NOT(ISERROR(SEARCH("Menor",X4)))</formula>
    </cfRule>
    <cfRule type="containsText" dxfId="414" priority="13" operator="containsText" text="Leve">
      <formula>NOT(ISERROR(SEARCH("Leve",X4)))</formula>
    </cfRule>
  </conditionalFormatting>
  <conditionalFormatting sqref="Z4 Z6:Z7 Z9 Z13:Z17">
    <cfRule type="containsText" dxfId="413" priority="5" operator="containsText" text="Alto">
      <formula>NOT(ISERROR(SEARCH("Alto",Z4)))</formula>
    </cfRule>
    <cfRule type="containsText" dxfId="412" priority="6" operator="containsText" text="Moderado">
      <formula>NOT(ISERROR(SEARCH("Moderado",Z4)))</formula>
    </cfRule>
    <cfRule type="containsText" dxfId="411" priority="7" operator="containsText" text="Extremo">
      <formula>NOT(ISERROR(SEARCH("Extremo",Z4)))</formula>
    </cfRule>
    <cfRule type="containsText" dxfId="410" priority="8" operator="containsText" text="Bajo">
      <formula>NOT(ISERROR(SEARCH("Bajo",Z4)))</formula>
    </cfRule>
  </conditionalFormatting>
  <conditionalFormatting sqref="AC4:AC5">
    <cfRule type="containsText" dxfId="409" priority="59" operator="containsText" text="BAJA">
      <formula>NOT(ISERROR(SEARCH("BAJA",AC4)))</formula>
    </cfRule>
    <cfRule type="containsText" dxfId="408" priority="60" operator="containsText" text="MEDIA">
      <formula>NOT(ISERROR(SEARCH("MEDIA",AC4)))</formula>
    </cfRule>
    <cfRule type="containsText" dxfId="407" priority="61" operator="containsText" text="ALTA">
      <formula>NOT(ISERROR(SEARCH("ALTA",AC4)))</formula>
    </cfRule>
  </conditionalFormatting>
  <conditionalFormatting sqref="AD8">
    <cfRule type="containsText" dxfId="406" priority="56" operator="containsText" text="BAJA">
      <formula>NOT(ISERROR(SEARCH("BAJA",AD8)))</formula>
    </cfRule>
    <cfRule type="containsText" dxfId="405" priority="57" operator="containsText" text="MEDIA">
      <formula>NOT(ISERROR(SEARCH("MEDIA",AD8)))</formula>
    </cfRule>
    <cfRule type="containsText" dxfId="404" priority="58" operator="containsText" text="ALTA">
      <formula>NOT(ISERROR(SEARCH("ALTA",AD8)))</formula>
    </cfRule>
  </conditionalFormatting>
  <conditionalFormatting sqref="AF8">
    <cfRule type="containsText" dxfId="403" priority="53" operator="containsText" text="BAJA">
      <formula>NOT(ISERROR(SEARCH("BAJA",AF8)))</formula>
    </cfRule>
    <cfRule type="containsText" dxfId="402" priority="54" operator="containsText" text="MEDIA">
      <formula>NOT(ISERROR(SEARCH("MEDIA",AF8)))</formula>
    </cfRule>
    <cfRule type="containsText" dxfId="401" priority="55" operator="containsText" text="ALTA">
      <formula>NOT(ISERROR(SEARCH("ALTA",AF8)))</formula>
    </cfRule>
  </conditionalFormatting>
  <conditionalFormatting sqref="AI4:AI13">
    <cfRule type="containsText" dxfId="400" priority="49" operator="containsText" text="ALTA">
      <formula>NOT(ISERROR(SEARCH("ALTA",AI4)))</formula>
    </cfRule>
  </conditionalFormatting>
  <conditionalFormatting sqref="AI4:AI14">
    <cfRule type="containsText" dxfId="399" priority="47" operator="containsText" text="BAJA">
      <formula>NOT(ISERROR(SEARCH("BAJA",AI4)))</formula>
    </cfRule>
    <cfRule type="containsText" dxfId="398" priority="48" operator="containsText" text="MEDIA">
      <formula>NOT(ISERROR(SEARCH("MEDIA",AI4)))</formula>
    </cfRule>
  </conditionalFormatting>
  <conditionalFormatting sqref="AI8">
    <cfRule type="containsText" dxfId="397" priority="50" operator="containsText" text="BAJA">
      <formula>NOT(ISERROR(SEARCH("BAJA",AI8)))</formula>
    </cfRule>
    <cfRule type="containsText" dxfId="396" priority="51" operator="containsText" text="MEDIA">
      <formula>NOT(ISERROR(SEARCH("MEDIA",AI8)))</formula>
    </cfRule>
    <cfRule type="containsText" dxfId="395" priority="52" operator="containsText" text="ALTA">
      <formula>NOT(ISERROR(SEARCH("ALTA",AI8)))</formula>
    </cfRule>
  </conditionalFormatting>
  <conditionalFormatting sqref="AI14:AI17">
    <cfRule type="containsText" dxfId="394" priority="42" operator="containsText" text="ALTA">
      <formula>NOT(ISERROR(SEARCH("ALTA",AI14)))</formula>
    </cfRule>
  </conditionalFormatting>
  <conditionalFormatting sqref="AI15:AI17">
    <cfRule type="containsText" dxfId="393" priority="40" operator="containsText" text="BAJA">
      <formula>NOT(ISERROR(SEARCH("BAJA",AI15)))</formula>
    </cfRule>
    <cfRule type="containsText" dxfId="392" priority="41" operator="containsText" text="MEDIA">
      <formula>NOT(ISERROR(SEARCH("MEDIA",AI15)))</formula>
    </cfRule>
  </conditionalFormatting>
  <conditionalFormatting sqref="AJ12">
    <cfRule type="containsText" dxfId="391" priority="65" operator="containsText" text="BAJA">
      <formula>NOT(ISERROR(SEARCH("BAJA",AJ12)))</formula>
    </cfRule>
    <cfRule type="containsText" dxfId="390" priority="66" operator="containsText" text="MEDIA">
      <formula>NOT(ISERROR(SEARCH("MEDIA",AJ12)))</formula>
    </cfRule>
    <cfRule type="containsText" dxfId="389" priority="67" operator="containsText" text="ALTA">
      <formula>NOT(ISERROR(SEARCH("ALTA",AJ12)))</formula>
    </cfRule>
  </conditionalFormatting>
  <conditionalFormatting sqref="AJ8:AK11">
    <cfRule type="containsText" dxfId="388" priority="68" operator="containsText" text="BAJA">
      <formula>NOT(ISERROR(SEARCH("BAJA",AJ8)))</formula>
    </cfRule>
    <cfRule type="containsText" dxfId="387" priority="69" operator="containsText" text="MEDIA">
      <formula>NOT(ISERROR(SEARCH("MEDIA",AJ8)))</formula>
    </cfRule>
    <cfRule type="containsText" dxfId="386" priority="70" operator="containsText" text="ALTA">
      <formula>NOT(ISERROR(SEARCH("ALTA",AJ8)))</formula>
    </cfRule>
  </conditionalFormatting>
  <conditionalFormatting sqref="AK5:AK7">
    <cfRule type="containsText" dxfId="385" priority="72" operator="containsText" text="BAJA">
      <formula>NOT(ISERROR(SEARCH("BAJA",AK5)))</formula>
    </cfRule>
    <cfRule type="containsText" dxfId="384" priority="73" operator="containsText" text="MEDIA">
      <formula>NOT(ISERROR(SEARCH("MEDIA",AK5)))</formula>
    </cfRule>
    <cfRule type="containsText" dxfId="383" priority="74" operator="containsText" text="ALTA">
      <formula>NOT(ISERROR(SEARCH("ALTA",AK5)))</formula>
    </cfRule>
  </conditionalFormatting>
  <conditionalFormatting sqref="AQ4:AQ6">
    <cfRule type="containsText" dxfId="382" priority="37" operator="containsText" text="BAJA">
      <formula>NOT(ISERROR(SEARCH("BAJA",AQ4)))</formula>
    </cfRule>
    <cfRule type="containsText" dxfId="381" priority="38" operator="containsText" text="MEDIA">
      <formula>NOT(ISERROR(SEARCH("MEDIA",AQ4)))</formula>
    </cfRule>
    <cfRule type="containsText" dxfId="380" priority="39" operator="containsText" text="ALTA">
      <formula>NOT(ISERROR(SEARCH("ALTA",AQ4)))</formula>
    </cfRule>
  </conditionalFormatting>
  <conditionalFormatting sqref="AQ8:AQ9">
    <cfRule type="containsText" dxfId="379" priority="34" operator="containsText" text="BAJA">
      <formula>NOT(ISERROR(SEARCH("BAJA",AQ8)))</formula>
    </cfRule>
    <cfRule type="containsText" dxfId="378" priority="35" operator="containsText" text="MEDIA">
      <formula>NOT(ISERROR(SEARCH("MEDIA",AQ8)))</formula>
    </cfRule>
    <cfRule type="containsText" dxfId="377" priority="36" operator="containsText" text="ALTA">
      <formula>NOT(ISERROR(SEARCH("ALTA",AQ8)))</formula>
    </cfRule>
  </conditionalFormatting>
  <conditionalFormatting sqref="AR4:AR10">
    <cfRule type="containsText" dxfId="376" priority="28" operator="containsText" text="BAJA">
      <formula>NOT(ISERROR(SEARCH("BAJA",AR4)))</formula>
    </cfRule>
    <cfRule type="containsText" dxfId="375" priority="29" operator="containsText" text="MEDIA">
      <formula>NOT(ISERROR(SEARCH("MEDIA",AR4)))</formula>
    </cfRule>
    <cfRule type="containsText" dxfId="374" priority="30" operator="containsText" text="ALTA">
      <formula>NOT(ISERROR(SEARCH("ALTA",AR4)))</formula>
    </cfRule>
  </conditionalFormatting>
  <conditionalFormatting sqref="AR9:AR11">
    <cfRule type="containsText" dxfId="373" priority="25" operator="containsText" text="BAJA">
      <formula>NOT(ISERROR(SEARCH("BAJA",AR9)))</formula>
    </cfRule>
    <cfRule type="containsText" dxfId="372" priority="26" operator="containsText" text="MEDIA">
      <formula>NOT(ISERROR(SEARCH("MEDIA",AR9)))</formula>
    </cfRule>
    <cfRule type="containsText" dxfId="371" priority="27" operator="containsText" text="ALTA">
      <formula>NOT(ISERROR(SEARCH("ALTA",AR9)))</formula>
    </cfRule>
  </conditionalFormatting>
  <conditionalFormatting sqref="AR10">
    <cfRule type="containsText" dxfId="370" priority="22" operator="containsText" text="BAJA">
      <formula>NOT(ISERROR(SEARCH("BAJA",AR10)))</formula>
    </cfRule>
    <cfRule type="containsText" dxfId="369" priority="23" operator="containsText" text="MEDIA">
      <formula>NOT(ISERROR(SEARCH("MEDIA",AR10)))</formula>
    </cfRule>
    <cfRule type="containsText" dxfId="368" priority="24" operator="containsText" text="ALTA">
      <formula>NOT(ISERROR(SEARCH("ALTA",AR10)))</formula>
    </cfRule>
  </conditionalFormatting>
  <conditionalFormatting sqref="AR14">
    <cfRule type="containsText" dxfId="367" priority="19" operator="containsText" text="BAJA">
      <formula>NOT(ISERROR(SEARCH("BAJA",AR14)))</formula>
    </cfRule>
    <cfRule type="containsText" dxfId="366" priority="20" operator="containsText" text="MEDIA">
      <formula>NOT(ISERROR(SEARCH("MEDIA",AR14)))</formula>
    </cfRule>
    <cfRule type="containsText" dxfId="365" priority="21" operator="containsText" text="ALTA">
      <formula>NOT(ISERROR(SEARCH("ALTA",AR14)))</formula>
    </cfRule>
  </conditionalFormatting>
  <dataValidations count="4">
    <dataValidation type="list" allowBlank="1" showInputMessage="1" showErrorMessage="1" sqref="AF4:AF17">
      <formula1>"Manual,Automático"</formula1>
    </dataValidation>
    <dataValidation type="list" allowBlank="1" showInputMessage="1" showErrorMessage="1" sqref="AI4:AI17">
      <formula1>"Confiable,No confiable"</formula1>
    </dataValidation>
    <dataValidation type="list" allowBlank="1" showInputMessage="1" showErrorMessage="1" sqref="A4:A17">
      <formula1>"SI,NO"</formula1>
    </dataValidation>
    <dataValidation type="list" allowBlank="1" showInputMessage="1" showErrorMessage="1" sqref="AO13:AO14">
      <formula1>INDIRECT("TRAT[TRATAMIENTO]")</formula1>
    </dataValidation>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8"/>
  <sheetViews>
    <sheetView topLeftCell="A4" zoomScale="68" zoomScaleNormal="68" workbookViewId="0">
      <selection activeCell="F13" sqref="F13"/>
    </sheetView>
  </sheetViews>
  <sheetFormatPr baseColWidth="10" defaultColWidth="17.28515625" defaultRowHeight="82.15" customHeight="1"/>
  <cols>
    <col min="1" max="1" width="14.140625" style="81" customWidth="1"/>
    <col min="2" max="2" width="14" style="63" customWidth="1"/>
    <col min="3" max="3" width="17.28515625" style="63" customWidth="1"/>
    <col min="4" max="4" width="19.42578125" style="63" customWidth="1"/>
    <col min="5" max="5" width="19.5703125" style="63" customWidth="1"/>
    <col min="6" max="6" width="59.7109375" style="53" customWidth="1"/>
    <col min="7" max="7" width="9.7109375" style="53" customWidth="1"/>
    <col min="8" max="8" width="39.5703125" style="53" customWidth="1"/>
    <col min="9" max="9" width="44.28515625" style="53" customWidth="1"/>
    <col min="10" max="10" width="14.7109375" style="53" bestFit="1" customWidth="1"/>
    <col min="11" max="11" width="16.7109375" style="53" customWidth="1"/>
    <col min="12" max="12" width="19.28515625" style="53" customWidth="1"/>
    <col min="13" max="13" width="46.140625" style="53" customWidth="1"/>
    <col min="14" max="14" width="19.28515625" style="53" customWidth="1"/>
    <col min="15" max="15" width="45.28515625" style="53" customWidth="1"/>
    <col min="16" max="16" width="17.7109375" style="53" customWidth="1"/>
    <col min="17" max="17" width="32.42578125" style="53" customWidth="1"/>
    <col min="18" max="18" width="17.140625" style="53" customWidth="1"/>
    <col min="19" max="21" width="21.85546875" style="53" customWidth="1"/>
    <col min="22" max="22" width="15" style="53" customWidth="1"/>
    <col min="23" max="23" width="12.28515625" style="64" customWidth="1"/>
    <col min="24" max="24" width="13.7109375" style="53" customWidth="1"/>
    <col min="25" max="25" width="14.7109375" style="64" customWidth="1"/>
    <col min="26" max="26" width="16.85546875" style="53" bestFit="1" customWidth="1"/>
    <col min="27" max="27" width="7.85546875" style="53" customWidth="1"/>
    <col min="28" max="28" width="28.140625" style="53" customWidth="1"/>
    <col min="29" max="29" width="59.42578125" style="53" customWidth="1"/>
    <col min="30" max="30" width="10" style="53" bestFit="1" customWidth="1"/>
    <col min="31" max="31" width="8.42578125" style="64" customWidth="1"/>
    <col min="32" max="32" width="20.28515625" style="64" customWidth="1"/>
    <col min="33" max="33" width="9" style="64" customWidth="1"/>
    <col min="34" max="34" width="14.140625" style="64" customWidth="1"/>
    <col min="35" max="35" width="16.42578125" style="53" customWidth="1"/>
    <col min="36" max="36" width="14.7109375" style="63" customWidth="1"/>
    <col min="37" max="37" width="36.5703125" style="53" customWidth="1"/>
    <col min="38" max="38" width="13.7109375" style="53" customWidth="1"/>
    <col min="39" max="39" width="13.7109375" style="65" customWidth="1"/>
    <col min="40" max="40" width="13.7109375" style="53" customWidth="1"/>
    <col min="41" max="41" width="15.28515625" style="53" customWidth="1"/>
    <col min="42" max="42" width="7.28515625" style="66" customWidth="1"/>
    <col min="43" max="43" width="49.28515625" style="66" customWidth="1"/>
    <col min="44" max="44" width="17" style="63" customWidth="1"/>
    <col min="45" max="46" width="11.5703125" style="82" customWidth="1"/>
    <col min="47" max="47" width="21.85546875" style="53" customWidth="1"/>
    <col min="48" max="57" width="18.140625" style="81" customWidth="1"/>
    <col min="58" max="216" width="11.42578125" style="81" customWidth="1"/>
    <col min="217" max="217" width="21.85546875" style="81" customWidth="1"/>
    <col min="218" max="218" width="13.85546875" style="81" customWidth="1"/>
    <col min="219" max="219" width="38.7109375" style="81" customWidth="1"/>
    <col min="220" max="220" width="3" style="81" bestFit="1" customWidth="1"/>
    <col min="221" max="221" width="32.28515625" style="81" customWidth="1"/>
    <col min="222" max="222" width="46.28515625" style="81" customWidth="1"/>
    <col min="223" max="223" width="19" style="81" customWidth="1"/>
    <col min="224" max="224" width="11.42578125" style="81" customWidth="1"/>
    <col min="225" max="225" width="17.7109375" style="81" customWidth="1"/>
    <col min="226" max="226" width="11.42578125" style="81" customWidth="1"/>
    <col min="227" max="227" width="22.28515625" style="81" customWidth="1"/>
    <col min="228" max="228" width="5.28515625" style="81" customWidth="1"/>
    <col min="229" max="229" width="36.28515625" style="81" customWidth="1"/>
    <col min="230" max="230" width="5.7109375" style="81" customWidth="1"/>
    <col min="231" max="231" width="11.42578125" style="81" customWidth="1"/>
    <col min="232" max="232" width="20.7109375" style="81" customWidth="1"/>
    <col min="233" max="233" width="4.85546875" style="81" customWidth="1"/>
    <col min="234" max="234" width="11.42578125" style="81" customWidth="1"/>
    <col min="235" max="235" width="24.7109375" style="81" customWidth="1"/>
    <col min="236" max="236" width="12.28515625" style="81" customWidth="1"/>
    <col min="237" max="237" width="11.42578125" style="81" customWidth="1"/>
    <col min="238" max="238" width="3.42578125" style="81" customWidth="1"/>
    <col min="239" max="239" width="11.42578125" style="81" customWidth="1"/>
    <col min="240" max="240" width="17.7109375" style="81" customWidth="1"/>
    <col min="241" max="241" width="3.42578125" style="81" customWidth="1"/>
    <col min="242" max="242" width="11.42578125" style="81" customWidth="1"/>
    <col min="243" max="243" width="23.7109375" style="81" customWidth="1"/>
    <col min="244" max="244" width="10" style="81" customWidth="1"/>
    <col min="245" max="245" width="11.42578125" style="81" customWidth="1"/>
    <col min="246" max="247" width="14.7109375" style="81" customWidth="1"/>
    <col min="248" max="248" width="12.85546875" style="81" customWidth="1"/>
    <col min="249" max="249" width="3.28515625" style="81" customWidth="1"/>
    <col min="250" max="250" width="30.28515625" style="81" customWidth="1"/>
    <col min="251" max="251" width="5" style="81" customWidth="1"/>
    <col min="252" max="252" width="11.42578125" style="81" customWidth="1"/>
    <col min="253" max="253" width="14.28515625" style="81" customWidth="1"/>
    <col min="254" max="254" width="5.7109375" style="81" customWidth="1"/>
    <col min="255" max="255" width="11.42578125" style="81" customWidth="1"/>
    <col min="256" max="16384" width="17.28515625" style="81"/>
  </cols>
  <sheetData>
    <row r="1" spans="1:59" ht="82.15"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t="s">
        <v>184</v>
      </c>
      <c r="AW1" s="891"/>
      <c r="AX1" s="891"/>
      <c r="AY1" s="891"/>
      <c r="AZ1" s="891"/>
      <c r="BA1" s="891"/>
      <c r="BB1" s="891"/>
      <c r="BC1" s="891"/>
      <c r="BD1" s="891"/>
      <c r="BE1" s="891"/>
      <c r="BF1" s="85" t="s">
        <v>467</v>
      </c>
      <c r="BG1" s="85" t="s">
        <v>468</v>
      </c>
    </row>
    <row r="2" spans="1:59" ht="38.450000000000003"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91" t="s">
        <v>197</v>
      </c>
      <c r="AW2" s="891"/>
      <c r="AX2" s="891"/>
      <c r="AY2" s="891"/>
      <c r="AZ2" s="891"/>
      <c r="BA2" s="865" t="s">
        <v>198</v>
      </c>
      <c r="BB2" s="865"/>
      <c r="BC2" s="865"/>
      <c r="BD2" s="865"/>
      <c r="BE2" s="865"/>
      <c r="BF2" s="93"/>
      <c r="BG2" s="93"/>
    </row>
    <row r="3" spans="1:59" s="46" customFormat="1" ht="82.15" customHeight="1" thickBot="1">
      <c r="A3" s="611" t="s">
        <v>199</v>
      </c>
      <c r="B3" s="611" t="s">
        <v>144</v>
      </c>
      <c r="C3" s="611" t="s">
        <v>6</v>
      </c>
      <c r="D3" s="611" t="s">
        <v>1</v>
      </c>
      <c r="E3" s="611" t="s">
        <v>2</v>
      </c>
      <c r="F3" s="568"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ht="82.5" customHeight="1" thickBot="1">
      <c r="A4" s="1020" t="s">
        <v>51</v>
      </c>
      <c r="B4" s="998" t="s">
        <v>62</v>
      </c>
      <c r="C4" s="998" t="s">
        <v>152</v>
      </c>
      <c r="D4" s="998" t="s">
        <v>12</v>
      </c>
      <c r="E4" s="998" t="s">
        <v>96</v>
      </c>
      <c r="F4" s="995" t="s">
        <v>708</v>
      </c>
      <c r="G4" s="1004" t="s">
        <v>709</v>
      </c>
      <c r="H4" s="1011" t="s">
        <v>710</v>
      </c>
      <c r="I4" s="1011" t="s">
        <v>711</v>
      </c>
      <c r="J4" s="998" t="s">
        <v>66</v>
      </c>
      <c r="K4" s="998">
        <v>1</v>
      </c>
      <c r="L4" s="985">
        <f>IF(J4="Diaria",+(K4/360),IF(J4="Semanal",+(K4/52),IF(J4="Mensual",+(K4/12),IF(J4="Bimestral",+(K4/6),IF(J4="Trimestral",+(K4/4),IF(J4="Semestral",+(K4/2),IF(J4="Anual",+(K4/1),"")))))))</f>
        <v>8.3333333333333329E-2</v>
      </c>
      <c r="M4" s="998" t="s">
        <v>86</v>
      </c>
      <c r="N4" s="985">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1</v>
      </c>
      <c r="O4" s="998" t="s">
        <v>87</v>
      </c>
      <c r="P4" s="985">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1</v>
      </c>
      <c r="Q4" s="998" t="s">
        <v>73</v>
      </c>
      <c r="R4" s="985">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1020" t="s">
        <v>60</v>
      </c>
      <c r="T4" s="1020" t="s">
        <v>61</v>
      </c>
      <c r="U4" s="985">
        <f>+MAX(N4,P4,R4)</f>
        <v>1</v>
      </c>
      <c r="V4" s="912" t="str">
        <f>IF(L4&lt;=20%,"Muy baja",IF(L4&lt;=40%,"Baja",IF(L4&lt;=60%,"Media",IF(L4&lt;=80%,"Alta",IF(L4&lt;=100%,"Muy alta",IF(L4&gt;=100%,"Muy alta",""))))))</f>
        <v>Muy baja</v>
      </c>
      <c r="W4" s="985">
        <f>+IFERROR(VLOOKUP(V4,formulas!$F$1:$G$6,2,FALSE),"")</f>
        <v>0.2</v>
      </c>
      <c r="X4" s="911" t="str">
        <f>IF(U4=20%,"Leve",IF(U4=40%,"Menor",IF(U4=60%,"Moderado",IF(U4=80%,"Mayor",IF(U4=100%,"Catastrófico","")))))</f>
        <v>Catastrófico</v>
      </c>
      <c r="Y4" s="985">
        <f>+IFERROR(VLOOKUP(X4,formulas!$H$1:$I$6,2,FALSE),"")</f>
        <v>1</v>
      </c>
      <c r="Z4" s="911" t="str">
        <f>+IFERROR(VLOOKUP(V4&amp;X4,formulas!$C$2:$D$26,2,FALSE),"")</f>
        <v>Extremo</v>
      </c>
      <c r="AA4" s="985">
        <f>IF(Z4="Bajo",25%,IF(Z4="Moderado",50%,IF(Z4="Alto",75%,IF(Z4="Extremo",100%,""))))</f>
        <v>1</v>
      </c>
      <c r="AB4" s="1026" t="s">
        <v>712</v>
      </c>
      <c r="AC4" s="216" t="s">
        <v>713</v>
      </c>
      <c r="AD4" s="1001" t="s">
        <v>57</v>
      </c>
      <c r="AE4" s="985">
        <f t="shared" ref="AE4:AE11" si="0">IF(AD4="Preventivo",25%,IF(AD4="Detectivo",15%,IF(AD4="Correctivo",10%,"")))</f>
        <v>0.25</v>
      </c>
      <c r="AF4" s="1001" t="s">
        <v>229</v>
      </c>
      <c r="AG4" s="985">
        <f>IF(AF4="Manual",15%,IF(AF4="Automático",25%,""))</f>
        <v>0.15</v>
      </c>
      <c r="AH4" s="985">
        <f t="shared" ref="AH4:AH11" si="1">+AG4+AE4</f>
        <v>0.4</v>
      </c>
      <c r="AI4" s="1001" t="s">
        <v>230</v>
      </c>
      <c r="AJ4" s="1001" t="s">
        <v>24</v>
      </c>
      <c r="AK4" s="1001" t="s">
        <v>714</v>
      </c>
      <c r="AL4" s="1018">
        <f>+AA4*AH4</f>
        <v>0.4</v>
      </c>
      <c r="AM4" s="1018">
        <f>+AA4-AL4</f>
        <v>0.6</v>
      </c>
      <c r="AN4" s="911" t="str">
        <f>+IF(C4="Corrupción","Moderado",IF(AM4&lt;=25%,"Bajo",IF(AM4&lt;=50%,"Moderado",IF(AM4&lt;=75%,"Alto",IF(AM4&gt;75%,"Extremo","")))))</f>
        <v>Alto</v>
      </c>
      <c r="AO4" s="1012" t="s">
        <v>59</v>
      </c>
      <c r="AP4" s="1015">
        <v>1</v>
      </c>
      <c r="AQ4" s="1001" t="s">
        <v>715</v>
      </c>
      <c r="AR4" s="998" t="s">
        <v>716</v>
      </c>
      <c r="AS4" s="1008">
        <v>45658</v>
      </c>
      <c r="AT4" s="989">
        <v>46022</v>
      </c>
      <c r="AU4" s="992" t="s">
        <v>717</v>
      </c>
      <c r="AV4" s="487"/>
      <c r="AW4" s="487"/>
      <c r="AX4" s="487"/>
      <c r="AY4" s="487"/>
      <c r="AZ4" s="487"/>
      <c r="BA4" s="487"/>
      <c r="BB4" s="487"/>
      <c r="BC4" s="487"/>
      <c r="BD4" s="487"/>
      <c r="BE4" s="487"/>
      <c r="BF4" s="488"/>
      <c r="BG4" s="488"/>
    </row>
    <row r="5" spans="1:59" ht="85.5" customHeight="1">
      <c r="A5" s="1021"/>
      <c r="B5" s="999"/>
      <c r="C5" s="999"/>
      <c r="D5" s="999"/>
      <c r="E5" s="999"/>
      <c r="F5" s="996"/>
      <c r="G5" s="1005"/>
      <c r="H5" s="1005"/>
      <c r="I5" s="1005"/>
      <c r="J5" s="999"/>
      <c r="K5" s="999"/>
      <c r="L5" s="1007"/>
      <c r="M5" s="999"/>
      <c r="N5" s="1007"/>
      <c r="O5" s="999"/>
      <c r="P5" s="1007"/>
      <c r="Q5" s="999"/>
      <c r="R5" s="1007"/>
      <c r="S5" s="1021"/>
      <c r="T5" s="1021"/>
      <c r="U5" s="1007"/>
      <c r="V5" s="915"/>
      <c r="W5" s="1007"/>
      <c r="X5" s="821"/>
      <c r="Y5" s="1007"/>
      <c r="Z5" s="821"/>
      <c r="AA5" s="1007"/>
      <c r="AB5" s="1027"/>
      <c r="AC5" s="485" t="s">
        <v>718</v>
      </c>
      <c r="AD5" s="1002"/>
      <c r="AE5" s="1007"/>
      <c r="AF5" s="1002"/>
      <c r="AG5" s="1007"/>
      <c r="AH5" s="1007"/>
      <c r="AI5" s="1002"/>
      <c r="AJ5" s="1002"/>
      <c r="AK5" s="1002"/>
      <c r="AL5" s="1019"/>
      <c r="AM5" s="1019"/>
      <c r="AN5" s="821"/>
      <c r="AO5" s="1013"/>
      <c r="AP5" s="1016"/>
      <c r="AQ5" s="1002"/>
      <c r="AR5" s="999"/>
      <c r="AS5" s="1009"/>
      <c r="AT5" s="990"/>
      <c r="AU5" s="993"/>
      <c r="AV5" s="672"/>
      <c r="AW5" s="672"/>
      <c r="AX5" s="672"/>
      <c r="AY5" s="672"/>
      <c r="AZ5" s="672"/>
      <c r="BA5" s="672"/>
      <c r="BB5" s="672"/>
      <c r="BC5" s="672"/>
      <c r="BD5" s="672"/>
      <c r="BE5" s="672"/>
      <c r="BF5" s="240"/>
      <c r="BG5" s="240"/>
    </row>
    <row r="6" spans="1:59" ht="81" customHeight="1" thickBot="1">
      <c r="A6" s="1022"/>
      <c r="B6" s="1000"/>
      <c r="C6" s="1000"/>
      <c r="D6" s="1000"/>
      <c r="E6" s="1000"/>
      <c r="F6" s="997"/>
      <c r="G6" s="1006"/>
      <c r="H6" s="1006"/>
      <c r="I6" s="1006"/>
      <c r="J6" s="1000"/>
      <c r="K6" s="1000"/>
      <c r="L6" s="986"/>
      <c r="M6" s="1000"/>
      <c r="N6" s="986"/>
      <c r="O6" s="1000"/>
      <c r="P6" s="986"/>
      <c r="Q6" s="1000"/>
      <c r="R6" s="986"/>
      <c r="S6" s="1022"/>
      <c r="T6" s="1022"/>
      <c r="U6" s="986"/>
      <c r="V6" s="913"/>
      <c r="W6" s="986"/>
      <c r="X6" s="822"/>
      <c r="Y6" s="986"/>
      <c r="Z6" s="822"/>
      <c r="AA6" s="986"/>
      <c r="AB6" s="1028"/>
      <c r="AC6" s="485" t="s">
        <v>719</v>
      </c>
      <c r="AD6" s="1003"/>
      <c r="AE6" s="986"/>
      <c r="AF6" s="1003"/>
      <c r="AG6" s="986"/>
      <c r="AH6" s="986"/>
      <c r="AI6" s="1003"/>
      <c r="AJ6" s="1003"/>
      <c r="AK6" s="1003"/>
      <c r="AL6" s="1019"/>
      <c r="AM6" s="1023"/>
      <c r="AN6" s="822"/>
      <c r="AO6" s="1014"/>
      <c r="AP6" s="1017"/>
      <c r="AQ6" s="1003"/>
      <c r="AR6" s="1000"/>
      <c r="AS6" s="1010"/>
      <c r="AT6" s="991"/>
      <c r="AU6" s="994"/>
      <c r="AV6" s="87"/>
      <c r="AW6" s="87"/>
      <c r="AX6" s="87"/>
      <c r="AY6" s="87"/>
      <c r="AZ6" s="87"/>
      <c r="BA6" s="87"/>
      <c r="BB6" s="87"/>
      <c r="BC6" s="87"/>
      <c r="BD6" s="87"/>
      <c r="BE6" s="87"/>
      <c r="BF6" s="486"/>
      <c r="BG6" s="486"/>
    </row>
    <row r="7" spans="1:59" ht="82.15" customHeight="1">
      <c r="A7" s="1029" t="s">
        <v>231</v>
      </c>
      <c r="B7" s="1031" t="s">
        <v>62</v>
      </c>
      <c r="C7" s="1031" t="s">
        <v>92</v>
      </c>
      <c r="D7" s="1031" t="s">
        <v>18</v>
      </c>
      <c r="E7" s="1031" t="s">
        <v>67</v>
      </c>
      <c r="F7" s="1033" t="s">
        <v>720</v>
      </c>
      <c r="G7" s="1036" t="s">
        <v>721</v>
      </c>
      <c r="H7" s="1036" t="s">
        <v>722</v>
      </c>
      <c r="I7" s="1036" t="s">
        <v>723</v>
      </c>
      <c r="J7" s="1031" t="s">
        <v>95</v>
      </c>
      <c r="K7" s="1031">
        <v>2</v>
      </c>
      <c r="L7" s="978">
        <f>IF(J7="Diaria",+(K7/360),IF(J7="Semanal",+(K7/52),IF(J7="Mensual",+(K7/12),IF(J7="Bimestral",+(K7/6),IF(J7="Trimestral",+(K7/4),IF(J7="Semestral",+(K7/2),IF(J7="Anual",+(K7/1),"")))))))</f>
        <v>1</v>
      </c>
      <c r="M7" s="1031" t="s">
        <v>86</v>
      </c>
      <c r="N7" s="978">
        <f>IF(M7="Menor al 1% del patrimonio de la Lotería de Bogotá",20%,IF(M7="Entre el 1% y el 3% del patrimonio de la Lotería de Bogotá",40%,IF(M7="Entre el 3% y el 6% del patrimonio de la Lotería de Bogotá",60%,IF(M7="Entre el 6% y el 10% del patrimonio de la Lotería de Bogotá",80%,IF(M7="Mayor al 10% del patrimonio de la Lotería de Bogotá",100%,IF(M7="NA",0%,""))))))</f>
        <v>1</v>
      </c>
      <c r="O7" s="1031" t="s">
        <v>76</v>
      </c>
      <c r="P7" s="978">
        <f>IF(O7="El riesgo afecta la imagen de algún área de la organización",20%,IF(O7="El riesgo afecta la imagen de la entidad internamente, de conocimiento general nivel interno, de junta directiva y accionistas y/o de proveedores",40%,IF(O7="El riesgo afecta la imagen de la entidad con algunos usuarios de relevancia frente al logro de los objetivos",60%,IF(O7="El riesgo afecta la imagen de la entidad con efecto publicitario sostenido a nivel de sector administrativo, nivel departamental o municipal",80%,IF(O7="El riesgo afecta la imagen de la entidad a nivel nacional, con efecto publicitario sostenido a nivel país",100%,IF(O7="NA",0%,""))))))</f>
        <v>0.8</v>
      </c>
      <c r="Q7" s="1031" t="s">
        <v>73</v>
      </c>
      <c r="R7" s="978">
        <f>IF(Q7="Interrupción de la operación por menos de un día",20%,IF(Q7="Interrupción de la operación por un día completo",40%,IF(Q7="Interrupción de la operación mayor a 1 día y menor a 2 días",60%,IF(Q7="Interrupción de la operación por dos días completos",80%,IF(Q7="Interrupción de la operación por más de dos días",100%,IF(Q7="NA",0%,""))))))</f>
        <v>0</v>
      </c>
      <c r="S7" s="1029" t="s">
        <v>60</v>
      </c>
      <c r="T7" s="1029" t="s">
        <v>73</v>
      </c>
      <c r="U7" s="978">
        <f>+MAX(N7,P7,R7)</f>
        <v>1</v>
      </c>
      <c r="V7" s="914" t="str">
        <f>IF(L7&lt;=20%,"Muy baja",IF(L7&lt;=40%,"Baja",IF(L7&lt;=60%,"Media",IF(L7&lt;=80%,"Alta",IF(L7&lt;=100%,"Muy alta",IF(L7&gt;=100%,"Muy alta",""))))))</f>
        <v>Muy alta</v>
      </c>
      <c r="W7" s="978">
        <f>+IFERROR(VLOOKUP(V7,formulas!$F$1:$G$6,2,FALSE),"")</f>
        <v>1</v>
      </c>
      <c r="X7" s="820" t="str">
        <f>IF(U7=20%,"Leve",IF(U7=40%,"Menor",IF(U7=60%,"Moderado",IF(U7=80%,"Mayor",IF(U7=100%,"Catastrófico","")))))</f>
        <v>Catastrófico</v>
      </c>
      <c r="Y7" s="978">
        <f>+IFERROR(VLOOKUP(X7,formulas!$H$1:$I$6,2,FALSE),"")</f>
        <v>1</v>
      </c>
      <c r="Z7" s="820" t="str">
        <f>+IFERROR(VLOOKUP(V7&amp;X7,formulas!$C$2:$D$26,2,FALSE),"")</f>
        <v>Extremo</v>
      </c>
      <c r="AA7" s="978">
        <f>IF(Z7="Bajo",25%,IF(Z7="Moderado",50%,IF(Z7="Alto",75%,IF(Z7="Extremo",100%,""))))</f>
        <v>1</v>
      </c>
      <c r="AB7" s="1024" t="s">
        <v>724</v>
      </c>
      <c r="AC7" s="217" t="s">
        <v>725</v>
      </c>
      <c r="AD7" s="185" t="s">
        <v>57</v>
      </c>
      <c r="AE7" s="676">
        <f t="shared" si="0"/>
        <v>0.25</v>
      </c>
      <c r="AF7" s="185" t="s">
        <v>229</v>
      </c>
      <c r="AG7" s="676">
        <f>IF(AF7="Manual",15%,IF(AF7="Automático",25%,""))</f>
        <v>0.15</v>
      </c>
      <c r="AH7" s="676">
        <f t="shared" si="1"/>
        <v>0.4</v>
      </c>
      <c r="AI7" s="185" t="s">
        <v>230</v>
      </c>
      <c r="AJ7" s="185" t="s">
        <v>24</v>
      </c>
      <c r="AK7" s="185" t="s">
        <v>726</v>
      </c>
      <c r="AL7" s="459">
        <f>+AA7*AH7</f>
        <v>0.4</v>
      </c>
      <c r="AM7" s="181">
        <f>+AA7-AL7</f>
        <v>0.6</v>
      </c>
      <c r="AN7" s="820" t="str">
        <f>+IF(C7="Corrupción","Moderado",IF(AM8&lt;=25%,"Bajo",IF(AM8&lt;=50%,"Moderado",IF(AM8&lt;=75%,"Alto",IF(AM8&gt;75%,"Extremo","")))))</f>
        <v>Moderado</v>
      </c>
      <c r="AO7" s="1035" t="s">
        <v>59</v>
      </c>
      <c r="AP7" s="218">
        <v>1</v>
      </c>
      <c r="AQ7" s="219" t="s">
        <v>727</v>
      </c>
      <c r="AR7" s="186" t="s">
        <v>728</v>
      </c>
      <c r="AS7" s="187">
        <v>45658</v>
      </c>
      <c r="AT7" s="188">
        <v>46022</v>
      </c>
      <c r="AU7" s="220" t="s">
        <v>729</v>
      </c>
      <c r="AV7" s="677"/>
      <c r="AW7" s="677"/>
      <c r="AX7" s="677"/>
      <c r="AY7" s="677"/>
      <c r="AZ7" s="677"/>
      <c r="BA7" s="677"/>
      <c r="BB7" s="677"/>
      <c r="BC7" s="677"/>
      <c r="BD7" s="677"/>
      <c r="BE7" s="677"/>
      <c r="BF7" s="232"/>
      <c r="BG7" s="232"/>
    </row>
    <row r="8" spans="1:59" ht="82.15" customHeight="1" thickBot="1">
      <c r="A8" s="1030"/>
      <c r="B8" s="1032"/>
      <c r="C8" s="1032"/>
      <c r="D8" s="1032"/>
      <c r="E8" s="1032"/>
      <c r="F8" s="1034"/>
      <c r="G8" s="1037"/>
      <c r="H8" s="1037"/>
      <c r="I8" s="1037"/>
      <c r="J8" s="1032"/>
      <c r="K8" s="1032"/>
      <c r="L8" s="971"/>
      <c r="M8" s="1032"/>
      <c r="N8" s="971"/>
      <c r="O8" s="1032"/>
      <c r="P8" s="971"/>
      <c r="Q8" s="1032"/>
      <c r="R8" s="971"/>
      <c r="S8" s="1030"/>
      <c r="T8" s="1030"/>
      <c r="U8" s="971"/>
      <c r="V8" s="913"/>
      <c r="W8" s="971"/>
      <c r="X8" s="822"/>
      <c r="Y8" s="971"/>
      <c r="Z8" s="822"/>
      <c r="AA8" s="971"/>
      <c r="AB8" s="1025"/>
      <c r="AC8" s="221" t="s">
        <v>730</v>
      </c>
      <c r="AD8" s="88" t="s">
        <v>57</v>
      </c>
      <c r="AE8" s="671">
        <f t="shared" si="0"/>
        <v>0.25</v>
      </c>
      <c r="AF8" s="88" t="s">
        <v>229</v>
      </c>
      <c r="AG8" s="671">
        <f>IF(AF8="Manual",15%,IF(AF8="Automático",25%,""))</f>
        <v>0.15</v>
      </c>
      <c r="AH8" s="671">
        <f t="shared" si="1"/>
        <v>0.4</v>
      </c>
      <c r="AI8" s="88" t="s">
        <v>230</v>
      </c>
      <c r="AJ8" s="88" t="s">
        <v>24</v>
      </c>
      <c r="AK8" s="88" t="s">
        <v>731</v>
      </c>
      <c r="AL8" s="687">
        <f>+AM7*AH8</f>
        <v>0.24</v>
      </c>
      <c r="AM8" s="182">
        <f>+AM7-AL8</f>
        <v>0.36</v>
      </c>
      <c r="AN8" s="822"/>
      <c r="AO8" s="1014"/>
      <c r="AP8" s="108">
        <v>2</v>
      </c>
      <c r="AQ8" s="88" t="s">
        <v>732</v>
      </c>
      <c r="AR8" s="688" t="s">
        <v>733</v>
      </c>
      <c r="AS8" s="183">
        <v>45658</v>
      </c>
      <c r="AT8" s="184">
        <v>46022</v>
      </c>
      <c r="AU8" s="62" t="s">
        <v>734</v>
      </c>
      <c r="AV8" s="673"/>
      <c r="AW8" s="673"/>
      <c r="AX8" s="673"/>
      <c r="AY8" s="673"/>
      <c r="AZ8" s="673"/>
      <c r="BA8" s="673"/>
      <c r="BB8" s="673"/>
      <c r="BC8" s="673"/>
      <c r="BD8" s="673"/>
      <c r="BE8" s="673"/>
      <c r="BF8" s="713"/>
      <c r="BG8" s="713"/>
    </row>
    <row r="9" spans="1:59" ht="82.15" customHeight="1" thickBot="1">
      <c r="A9" s="123" t="s">
        <v>231</v>
      </c>
      <c r="B9" s="124" t="s">
        <v>62</v>
      </c>
      <c r="C9" s="124" t="s">
        <v>92</v>
      </c>
      <c r="D9" s="124" t="s">
        <v>79</v>
      </c>
      <c r="E9" s="124" t="s">
        <v>36</v>
      </c>
      <c r="F9" s="125" t="s">
        <v>519</v>
      </c>
      <c r="G9" s="124" t="s">
        <v>520</v>
      </c>
      <c r="H9" s="124" t="s">
        <v>521</v>
      </c>
      <c r="I9" s="124" t="s">
        <v>522</v>
      </c>
      <c r="J9" s="124" t="s">
        <v>66</v>
      </c>
      <c r="K9" s="124">
        <v>1</v>
      </c>
      <c r="L9" s="222">
        <f>IF(J9="Diaria",+(K9/360),IF(J9="Semanal",+(K9/52),IF(J9="Mensual",+(K9/12),IF(J9="Bimestral",+(K9/6),IF(J9="Trimestral",+(K9/4),IF(J9="Semestral",+(K9/2),IF(J9="Anual",+(K9/1),"")))))))</f>
        <v>8.3333333333333329E-2</v>
      </c>
      <c r="M9" s="124" t="s">
        <v>30</v>
      </c>
      <c r="N9" s="222">
        <f>IF(M9="Menor al 1% del patrimonio de la Lotería de Bogotá",20%,IF(M9="Entre el 1% y el 3% del patrimonio de la Lotería de Bogotá",40%,IF(M9="Entre el 3% y el 6% del patrimonio de la Lotería de Bogotá",60%,IF(M9="Entre el 6% y el 10% del patrimonio de la Lotería de Bogotá",80%,IF(M9="Mayor al 10% del patrimonio de la Lotería de Bogotá",100%,IF(M9="NA",0%,""))))))</f>
        <v>0.2</v>
      </c>
      <c r="O9" s="124" t="s">
        <v>64</v>
      </c>
      <c r="P9" s="222">
        <f>IF(O9="El riesgo afecta la imagen de algún área de la organización",20%,IF(O9="El riesgo afecta la imagen de la entidad internamente, de conocimiento general nivel interno, de junta directiva y accionistas y/o de proveedores",40%,IF(O9="El riesgo afecta la imagen de la entidad con algunos usuarios de relevancia frente al logro de los objetivos",60%,IF(O9="El riesgo afecta la imagen de la entidad con efecto publicitario sostenido a nivel de sector administrativo, nivel departamental o municipal",80%,IF(O9="El riesgo afecta la imagen de la entidad a nivel nacional, con efecto publicitario sostenido a nivel país",100%,IF(O9="NA",0%,""))))))</f>
        <v>0.6</v>
      </c>
      <c r="Q9" s="124" t="s">
        <v>73</v>
      </c>
      <c r="R9" s="222">
        <f>IF(Q9="Interrupción de la operación por menos de un día",20%,IF(Q9="Interrupción de la operación por un día completo",40%,IF(Q9="Interrupción de la operación mayor a 1 día y menor a 2 días",60%,IF(Q9="Interrupción de la operación por dos días completos",80%,IF(Q9="Interrupción de la operación por más de dos días",100%,IF(Q9="NA",0%,""))))))</f>
        <v>0</v>
      </c>
      <c r="S9" s="127" t="s">
        <v>60</v>
      </c>
      <c r="T9" s="127" t="s">
        <v>45</v>
      </c>
      <c r="U9" s="222">
        <f>+MAX(N9,P9,R9)</f>
        <v>0.6</v>
      </c>
      <c r="V9" s="425" t="str">
        <f>IF(L9&lt;=20%,"Muy baja",IF(L9&lt;=40%,"Baja",IF(L9&lt;=60%,"Media",IF(L9&lt;=80%,"Alta",IF(L9&lt;=100%,"Muy alta",IF(L9&gt;=100%,"Muy alta",""))))))</f>
        <v>Muy baja</v>
      </c>
      <c r="W9" s="222">
        <f>+IFERROR(VLOOKUP(V9,formulas!$F$1:$G$6,2,FALSE),"")</f>
        <v>0.2</v>
      </c>
      <c r="X9" s="351" t="str">
        <f>IF(U9=20%,"Leve",IF(U9=40%,"Menor",IF(U9=60%,"Moderado",IF(U9=80%,"Mayor",IF(U9=100%,"Catastrófico","")))))</f>
        <v>Moderado</v>
      </c>
      <c r="Y9" s="222">
        <f>+IFERROR(VLOOKUP(X9,formulas!$H$1:$I$6,2,FALSE),"")</f>
        <v>0.6</v>
      </c>
      <c r="Z9" s="351" t="str">
        <f>+IFERROR(VLOOKUP(V9&amp;X9,formulas!$C$2:$D$26,2,FALSE),"")</f>
        <v>Moderado</v>
      </c>
      <c r="AA9" s="222">
        <f>IF(Z9="Bajo",25%,IF(Z9="Moderado",50%,IF(Z9="Alto",75%,IF(Z9="Extremo",100%,""))))</f>
        <v>0.5</v>
      </c>
      <c r="AB9" s="223" t="s">
        <v>523</v>
      </c>
      <c r="AC9" s="224" t="s">
        <v>735</v>
      </c>
      <c r="AD9" s="124" t="s">
        <v>57</v>
      </c>
      <c r="AE9" s="222">
        <f t="shared" si="0"/>
        <v>0.25</v>
      </c>
      <c r="AF9" s="124" t="s">
        <v>229</v>
      </c>
      <c r="AG9" s="222">
        <f>IF(AF9="Manual",15%,IF(AF9="Automático",25%,""))</f>
        <v>0.15</v>
      </c>
      <c r="AH9" s="222">
        <f t="shared" si="1"/>
        <v>0.4</v>
      </c>
      <c r="AI9" s="124" t="s">
        <v>230</v>
      </c>
      <c r="AJ9" s="124" t="s">
        <v>24</v>
      </c>
      <c r="AK9" s="124" t="s">
        <v>639</v>
      </c>
      <c r="AL9" s="225">
        <f>+AA9*AH9</f>
        <v>0.2</v>
      </c>
      <c r="AM9" s="225">
        <f>+AA9-AL9</f>
        <v>0.3</v>
      </c>
      <c r="AN9" s="351" t="str">
        <f>+IF(C9="Corrupción","Moderado",IF(AM9&lt;=25%,"Bajo",IF(AM9&lt;=50%,"Moderado",IF(AM9&lt;=75%,"Alto",IF(AM9&gt;75%,"Extremo","")))))</f>
        <v>Moderado</v>
      </c>
      <c r="AO9" s="226" t="s">
        <v>59</v>
      </c>
      <c r="AP9" s="227">
        <v>2</v>
      </c>
      <c r="AQ9" s="227" t="s">
        <v>525</v>
      </c>
      <c r="AR9" s="189" t="s">
        <v>607</v>
      </c>
      <c r="AS9" s="139">
        <v>45658</v>
      </c>
      <c r="AT9" s="139">
        <v>46022</v>
      </c>
      <c r="AU9" s="139" t="s">
        <v>526</v>
      </c>
      <c r="AV9" s="124"/>
      <c r="AW9" s="124"/>
      <c r="AX9" s="124"/>
      <c r="AY9" s="124"/>
      <c r="AZ9" s="124"/>
      <c r="BA9" s="124"/>
      <c r="BB9" s="124"/>
      <c r="BC9" s="124"/>
      <c r="BD9" s="124"/>
      <c r="BE9" s="124"/>
      <c r="BF9" s="180"/>
      <c r="BG9" s="180"/>
    </row>
    <row r="10" spans="1:59" ht="129" customHeight="1" thickBot="1">
      <c r="A10" s="143" t="s">
        <v>51</v>
      </c>
      <c r="B10" s="124" t="s">
        <v>541</v>
      </c>
      <c r="C10" s="124" t="s">
        <v>58</v>
      </c>
      <c r="D10" s="124" t="s">
        <v>79</v>
      </c>
      <c r="E10" s="124" t="s">
        <v>80</v>
      </c>
      <c r="F10" s="125" t="s">
        <v>542</v>
      </c>
      <c r="G10" s="228" t="s">
        <v>457</v>
      </c>
      <c r="H10" s="124" t="s">
        <v>543</v>
      </c>
      <c r="I10" s="124" t="s">
        <v>544</v>
      </c>
      <c r="J10" s="229" t="s">
        <v>95</v>
      </c>
      <c r="K10" s="135">
        <v>1</v>
      </c>
      <c r="L10" s="222">
        <f>IF(J10="Diaria",+(K10/360),IF(J10="Semanal",+(K10/52),IF(J10="Mensual",+(K10/12),IF(J10="Bimestral",+(K10/6),IF(J10="Trimestral",+(K10/4),IF(J10="Semestral",+(K10/2),IF(J10="Anual",+(K10/1),"")))))))</f>
        <v>0.5</v>
      </c>
      <c r="M10" s="135" t="s">
        <v>47</v>
      </c>
      <c r="N10" s="222">
        <f>IF(M10="Menor al 1% del patrimonio de la Lotería de Bogotá",20%,IF(M10="Entre el 1% y el 3% del patrimonio de la Lotería de Bogotá",40%,IF(M10="Entre el 3% y el 6% del patrimonio de la Lotería de Bogotá",60%,IF(M10="Entre el 6% y el 10% del patrimonio de la Lotería de Bogotá",80%,IF(M10="Mayor al 10% del patrimonio de la Lotería de Bogotá",100%,IF(M10="NA",0%,""))))))</f>
        <v>0.4</v>
      </c>
      <c r="O10" s="230" t="s">
        <v>76</v>
      </c>
      <c r="P10" s="222">
        <f>IF(O10="El riesgo afecta la imagen de algún área de la organización",20%,IF(O10="El riesgo afecta la imagen de la entidad internamente, de conocimiento general nivel interno, de junta directiva y accionistas y/o de proveedores",40%,IF(O10="El riesgo afecta la imagen de la entidad con algunos usuarios de relevancia frente al logro de los objetivos",60%,IF(O10="El riesgo afecta la imagen de la entidad con efecto publicitario sostenido a nivel de sector administrativo, nivel departamental o municipal",80%,IF(O10="El riesgo afecta la imagen de la entidad a nivel nacional, con efecto publicitario sostenido a nivel país",100%,IF(O10="NA",0%,""))))))</f>
        <v>0.8</v>
      </c>
      <c r="Q10" s="135" t="s">
        <v>73</v>
      </c>
      <c r="R10" s="222">
        <f>IF(Q10="Interrupción de la operación por menos de un día",20%,IF(Q10="Interrupción de la operación por un día completo",40%,IF(Q10="Interrupción de la operación mayor a 1 día y menor a 2 días",60%,IF(Q10="Interrupción de la operación por dos días completos",80%,IF(Q10="Interrupción de la operación por más de dos días",100%,IF(Q10="NA",0%,""))))))</f>
        <v>0</v>
      </c>
      <c r="S10" s="231" t="s">
        <v>60</v>
      </c>
      <c r="T10" s="231" t="s">
        <v>73</v>
      </c>
      <c r="U10" s="222">
        <f>+MAX(N10,P10,R10)</f>
        <v>0.8</v>
      </c>
      <c r="V10" s="425" t="str">
        <f>IF(L10&lt;=20%,"Muy baja",IF(L10&lt;=40%,"Baja",IF(L10&lt;=60%,"Media",IF(L10&lt;=80%,"Alta",IF(L10&lt;=100%,"Muy alta",IF(L10&gt;=100%,"Muy alta",""))))))</f>
        <v>Media</v>
      </c>
      <c r="W10" s="222">
        <f>+IFERROR(VLOOKUP(V10,formulas!$F$1:$G$6,2,FALSE),"")</f>
        <v>0.6</v>
      </c>
      <c r="X10" s="351" t="str">
        <f>IF(U10=20%,"Leve",IF(U10=40%,"Menor",IF(U10=60%,"Moderado",IF(U10=80%,"Mayor",IF(U10=100%,"Catastrófico","")))))</f>
        <v>Mayor</v>
      </c>
      <c r="Y10" s="222">
        <f>+IFERROR(VLOOKUP(X10,formulas!$H$1:$I$6,2,FALSE),"")</f>
        <v>0.8</v>
      </c>
      <c r="Z10" s="351" t="str">
        <f>+IFERROR(VLOOKUP(V10&amp;X10,formulas!$C$2:$D$26,2,FALSE),"")</f>
        <v>Alto</v>
      </c>
      <c r="AA10" s="222">
        <f>IF(Z10="Bajo",25%,IF(Z10="Moderado",50%,IF(Z10="Alto",75%,IF(Z10="Extremo",100%,""))))</f>
        <v>0.75</v>
      </c>
      <c r="AB10" s="225"/>
      <c r="AC10" s="224" t="s">
        <v>545</v>
      </c>
      <c r="AD10" s="135" t="s">
        <v>57</v>
      </c>
      <c r="AE10" s="222">
        <f t="shared" si="0"/>
        <v>0.25</v>
      </c>
      <c r="AF10" s="135" t="s">
        <v>229</v>
      </c>
      <c r="AG10" s="222">
        <f>IF(AF10="Manual",15%,IF(AF10="Automático",25%,""))</f>
        <v>0.15</v>
      </c>
      <c r="AH10" s="222">
        <f t="shared" si="1"/>
        <v>0.4</v>
      </c>
      <c r="AI10" s="135" t="s">
        <v>230</v>
      </c>
      <c r="AJ10" s="135" t="s">
        <v>24</v>
      </c>
      <c r="AK10" s="135" t="s">
        <v>546</v>
      </c>
      <c r="AL10" s="225">
        <f>+AA9*AH10</f>
        <v>0.2</v>
      </c>
      <c r="AM10" s="225">
        <f>+AA9-AL10</f>
        <v>0.3</v>
      </c>
      <c r="AN10" s="351" t="str">
        <f>+IF(C10="Corrupción","Moderado",IF(AM10&lt;=25%,"Bajo",IF(AM10&lt;=50%,"Moderado",IF(AM10&lt;=75%,"Alto",IF(AM10&gt;75%,"Extremo","")))))</f>
        <v>Moderado</v>
      </c>
      <c r="AO10" s="226" t="s">
        <v>59</v>
      </c>
      <c r="AP10" s="134"/>
      <c r="AQ10" s="134"/>
      <c r="AR10" s="502"/>
      <c r="AS10" s="502"/>
      <c r="AT10" s="134"/>
      <c r="AU10" s="503"/>
      <c r="AV10" s="124"/>
      <c r="AW10" s="124"/>
      <c r="AX10" s="124"/>
      <c r="AY10" s="124"/>
      <c r="AZ10" s="124"/>
      <c r="BA10" s="124"/>
      <c r="BB10" s="124"/>
      <c r="BC10" s="124"/>
      <c r="BD10" s="124"/>
      <c r="BE10" s="124"/>
      <c r="BF10" s="180"/>
      <c r="BG10" s="180"/>
    </row>
    <row r="11" spans="1:59" ht="82.15" customHeight="1" thickBot="1">
      <c r="A11" s="123" t="s">
        <v>231</v>
      </c>
      <c r="B11" s="124" t="s">
        <v>29</v>
      </c>
      <c r="C11" s="124" t="s">
        <v>92</v>
      </c>
      <c r="D11" s="124" t="s">
        <v>79</v>
      </c>
      <c r="E11" s="124" t="s">
        <v>36</v>
      </c>
      <c r="F11" s="125" t="s">
        <v>547</v>
      </c>
      <c r="G11" s="124" t="s">
        <v>548</v>
      </c>
      <c r="H11" s="126" t="s">
        <v>549</v>
      </c>
      <c r="I11" s="124" t="s">
        <v>550</v>
      </c>
      <c r="J11" s="124" t="s">
        <v>66</v>
      </c>
      <c r="K11" s="124">
        <v>1</v>
      </c>
      <c r="L11" s="222">
        <f>IF(J11="Diaria",+(K11/360),IF(J11="Semanal",+(K11/52),IF(J11="Mensual",+(K11/12),IF(J11="Bimestral",+(K11/6),IF(J11="Trimestral",+(K11/4),IF(J11="Semestral",+(K11/2),IF(J11="Anual",+(K11/1),"")))))))</f>
        <v>8.3333333333333329E-2</v>
      </c>
      <c r="M11" s="124" t="s">
        <v>73</v>
      </c>
      <c r="N11" s="222">
        <f>IF(M11="Menor al 1% del patrimonio de la Lotería de Bogotá",20%,IF(M11="Entre el 1% y el 3% del patrimonio de la Lotería de Bogotá",40%,IF(M11="Entre el 3% y el 6% del patrimonio de la Lotería de Bogotá",60%,IF(M11="Entre el 6% y el 10% del patrimonio de la Lotería de Bogotá",80%,IF(M11="Mayor al 10% del patrimonio de la Lotería de Bogotá",100%,IF(M11="NA",0%,""))))))</f>
        <v>0</v>
      </c>
      <c r="O11" s="124" t="s">
        <v>31</v>
      </c>
      <c r="P11" s="222">
        <f>IF(O11="El riesgo afecta la imagen de algún área de la organización",20%,IF(O11="El riesgo afecta la imagen de la entidad internamente, de conocimiento general nivel interno, de junta directiva y accionistas y/o de proveedores",40%,IF(O11="El riesgo afecta la imagen de la entidad con algunos usuarios de relevancia frente al logro de los objetivos",60%,IF(O11="El riesgo afecta la imagen de la entidad con efecto publicitario sostenido a nivel de sector administrativo, nivel departamental o municipal",80%,IF(O11="El riesgo afecta la imagen de la entidad a nivel nacional, con efecto publicitario sostenido a nivel país",100%,IF(O11="NA",0%,""))))))</f>
        <v>0.2</v>
      </c>
      <c r="Q11" s="124" t="s">
        <v>73</v>
      </c>
      <c r="R11" s="222">
        <f>IF(Q11="Interrupción de la operación por menos de un día",20%,IF(Q11="Interrupción de la operación por un día completo",40%,IF(Q11="Interrupción de la operación mayor a 1 día y menor a 2 días",60%,IF(Q11="Interrupción de la operación por dos días completos",80%,IF(Q11="Interrupción de la operación por más de dos días",100%,IF(Q11="NA",0%,""))))))</f>
        <v>0</v>
      </c>
      <c r="S11" s="127" t="s">
        <v>60</v>
      </c>
      <c r="T11" s="127" t="s">
        <v>45</v>
      </c>
      <c r="U11" s="222">
        <f>+MAX(N11,P11,R11)</f>
        <v>0.2</v>
      </c>
      <c r="V11" s="425" t="str">
        <f>IF(L11&lt;=20%,"Muy baja",IF(L11&lt;=40%,"Baja",IF(L11&lt;=60%,"Media",IF(L11&lt;=80%,"Alta",IF(L11&lt;=100%,"Muy alta",IF(L11&gt;=100%,"Muy alta",""))))))</f>
        <v>Muy baja</v>
      </c>
      <c r="W11" s="222">
        <f>+IFERROR(VLOOKUP(V11,formulas!$F$1:$G$6,2,FALSE),"")</f>
        <v>0.2</v>
      </c>
      <c r="X11" s="351" t="str">
        <f>IF(U11=20%,"Leve",IF(U11=40%,"Menor",IF(U11=60%,"Moderado",IF(U11=80%,"Mayor",IF(U11=100%,"Catastrófico","")))))</f>
        <v>Leve</v>
      </c>
      <c r="Y11" s="222">
        <f>+IFERROR(VLOOKUP(X11,formulas!$H$1:$I$6,2,FALSE),"")</f>
        <v>0.2</v>
      </c>
      <c r="Z11" s="351" t="str">
        <f>+IFERROR(VLOOKUP(V11&amp;X11,formulas!$C$2:$D$26,2,FALSE),"")</f>
        <v>Bajo</v>
      </c>
      <c r="AA11" s="222">
        <f>IF(Z11="Bajo",25%,IF(Z11="Moderado",50%,IF(Z11="Alto",75%,IF(Z11="Extremo",100%,""))))</f>
        <v>0.25</v>
      </c>
      <c r="AB11" s="223" t="s">
        <v>551</v>
      </c>
      <c r="AC11" s="126" t="s">
        <v>552</v>
      </c>
      <c r="AD11" s="124" t="s">
        <v>57</v>
      </c>
      <c r="AE11" s="222">
        <f t="shared" si="0"/>
        <v>0.25</v>
      </c>
      <c r="AF11" s="124" t="s">
        <v>553</v>
      </c>
      <c r="AG11" s="222">
        <f>IF(AF11="Manual",15%,IF(AF11="Automático",25%,""))</f>
        <v>0.25</v>
      </c>
      <c r="AH11" s="222">
        <f t="shared" si="1"/>
        <v>0.5</v>
      </c>
      <c r="AI11" s="135" t="s">
        <v>230</v>
      </c>
      <c r="AJ11" s="124" t="s">
        <v>24</v>
      </c>
      <c r="AK11" s="124" t="s">
        <v>554</v>
      </c>
      <c r="AL11" s="225">
        <f>+AA11*AH11</f>
        <v>0.125</v>
      </c>
      <c r="AM11" s="225">
        <f>+AA11-AL11</f>
        <v>0.125</v>
      </c>
      <c r="AN11" s="351" t="str">
        <f>+IF(C11="Corrupción","Moderado",IF(AM11&lt;=25%,"Bajo",IF(AM11&lt;=50%,"Moderado",IF(AM11&lt;=75%,"Alto",IF(AM11&gt;75%,"Extremo","")))))</f>
        <v>Bajo</v>
      </c>
      <c r="AO11" s="686" t="s">
        <v>59</v>
      </c>
      <c r="AP11" s="504"/>
      <c r="AQ11" s="124"/>
      <c r="AR11" s="149"/>
      <c r="AS11" s="149"/>
      <c r="AT11" s="227"/>
      <c r="AU11" s="505"/>
      <c r="AV11" s="124"/>
      <c r="AW11" s="124"/>
      <c r="AX11" s="124"/>
      <c r="AY11" s="124"/>
      <c r="AZ11" s="124"/>
      <c r="BA11" s="124"/>
      <c r="BB11" s="124"/>
      <c r="BC11" s="124"/>
      <c r="BD11" s="124"/>
      <c r="BE11" s="124"/>
      <c r="BF11" s="180"/>
      <c r="BG11" s="180"/>
    </row>
    <row r="12" spans="1:59" ht="82.15" customHeight="1">
      <c r="W12" s="90"/>
      <c r="Y12" s="90"/>
      <c r="AE12" s="90"/>
      <c r="AF12" s="90"/>
      <c r="AG12" s="90"/>
      <c r="AH12" s="90"/>
      <c r="AM12" s="91"/>
    </row>
    <row r="13" spans="1:59" ht="82.15" customHeight="1">
      <c r="W13" s="90"/>
      <c r="Y13" s="90"/>
      <c r="AE13" s="90"/>
      <c r="AF13" s="90"/>
      <c r="AG13" s="90"/>
      <c r="AH13" s="90"/>
      <c r="AM13" s="91"/>
    </row>
    <row r="14" spans="1:59" ht="82.15" customHeight="1">
      <c r="W14" s="90"/>
      <c r="Y14" s="90"/>
      <c r="AE14" s="90"/>
      <c r="AF14" s="90"/>
      <c r="AG14" s="90"/>
      <c r="AH14" s="90"/>
      <c r="AM14" s="91"/>
    </row>
    <row r="15" spans="1:59" ht="82.15" customHeight="1">
      <c r="W15" s="90"/>
      <c r="Y15" s="90"/>
      <c r="AE15" s="90"/>
      <c r="AF15" s="90"/>
      <c r="AG15" s="90"/>
      <c r="AH15" s="90"/>
      <c r="AM15" s="91"/>
    </row>
    <row r="16" spans="1:59" ht="82.15" customHeight="1">
      <c r="W16" s="90"/>
      <c r="Y16" s="90"/>
      <c r="AE16" s="90"/>
      <c r="AF16" s="90"/>
      <c r="AG16" s="90"/>
      <c r="AH16" s="90"/>
      <c r="AM16" s="91"/>
    </row>
    <row r="17" spans="23:39" ht="82.15" customHeight="1">
      <c r="W17" s="90"/>
      <c r="Y17" s="90"/>
      <c r="AE17" s="90"/>
      <c r="AF17" s="90"/>
      <c r="AG17" s="90"/>
      <c r="AH17" s="90"/>
      <c r="AM17" s="91"/>
    </row>
    <row r="18" spans="23:39" ht="82.15" customHeight="1">
      <c r="W18" s="90"/>
      <c r="Y18" s="90"/>
      <c r="AE18" s="90"/>
      <c r="AF18" s="90"/>
      <c r="AG18" s="90"/>
      <c r="AH18" s="90"/>
      <c r="AM18" s="91"/>
    </row>
  </sheetData>
  <mergeCells count="97">
    <mergeCell ref="AV1:BE1"/>
    <mergeCell ref="AC2:AC3"/>
    <mergeCell ref="AD2:AG2"/>
    <mergeCell ref="AH2:AH3"/>
    <mergeCell ref="AI2:AK2"/>
    <mergeCell ref="AR2:AR3"/>
    <mergeCell ref="AS2:AS3"/>
    <mergeCell ref="AT2:AT3"/>
    <mergeCell ref="AV2:AZ2"/>
    <mergeCell ref="BA2:BE2"/>
    <mergeCell ref="AP2:AQ3"/>
    <mergeCell ref="A1:T2"/>
    <mergeCell ref="U1:AB2"/>
    <mergeCell ref="AC1:AK1"/>
    <mergeCell ref="AM1:AO1"/>
    <mergeCell ref="AP1:AU1"/>
    <mergeCell ref="AU2:AU3"/>
    <mergeCell ref="AO2:AO3"/>
    <mergeCell ref="Q7:Q8"/>
    <mergeCell ref="R7:R8"/>
    <mergeCell ref="G3:H3"/>
    <mergeCell ref="AJ3:AK3"/>
    <mergeCell ref="AL2:AN3"/>
    <mergeCell ref="H7:H8"/>
    <mergeCell ref="I7:I8"/>
    <mergeCell ref="J7:J8"/>
    <mergeCell ref="V4:V6"/>
    <mergeCell ref="V7:V8"/>
    <mergeCell ref="P4:P6"/>
    <mergeCell ref="Q4:Q6"/>
    <mergeCell ref="R4:R6"/>
    <mergeCell ref="S4:S6"/>
    <mergeCell ref="T4:T6"/>
    <mergeCell ref="U4:U6"/>
    <mergeCell ref="F7:F8"/>
    <mergeCell ref="K7:K8"/>
    <mergeCell ref="L7:L8"/>
    <mergeCell ref="AN7:AN8"/>
    <mergeCell ref="AO7:AO8"/>
    <mergeCell ref="W7:W8"/>
    <mergeCell ref="P7:P8"/>
    <mergeCell ref="G7:G8"/>
    <mergeCell ref="M7:M8"/>
    <mergeCell ref="N7:N8"/>
    <mergeCell ref="O7:O8"/>
    <mergeCell ref="X7:X8"/>
    <mergeCell ref="Y7:Y8"/>
    <mergeCell ref="S7:S8"/>
    <mergeCell ref="T7:T8"/>
    <mergeCell ref="U7:U8"/>
    <mergeCell ref="A7:A8"/>
    <mergeCell ref="B7:B8"/>
    <mergeCell ref="C7:C8"/>
    <mergeCell ref="D7:D8"/>
    <mergeCell ref="E7:E8"/>
    <mergeCell ref="J4:J6"/>
    <mergeCell ref="K4:K6"/>
    <mergeCell ref="L4:L6"/>
    <mergeCell ref="M4:M6"/>
    <mergeCell ref="N4:N6"/>
    <mergeCell ref="O4:O6"/>
    <mergeCell ref="W4:W6"/>
    <mergeCell ref="X4:X6"/>
    <mergeCell ref="Y4:Y6"/>
    <mergeCell ref="Z4:Z6"/>
    <mergeCell ref="AM4:AM6"/>
    <mergeCell ref="AK4:AK6"/>
    <mergeCell ref="Z7:Z8"/>
    <mergeCell ref="AA7:AA8"/>
    <mergeCell ref="AB7:AB8"/>
    <mergeCell ref="AA4:AA6"/>
    <mergeCell ref="AB4:AB6"/>
    <mergeCell ref="AD4:AD6"/>
    <mergeCell ref="AE4:AE6"/>
    <mergeCell ref="AF4:AF6"/>
    <mergeCell ref="AG4:AG6"/>
    <mergeCell ref="A4:A6"/>
    <mergeCell ref="B4:B6"/>
    <mergeCell ref="C4:C6"/>
    <mergeCell ref="D4:D6"/>
    <mergeCell ref="E4:E6"/>
    <mergeCell ref="AT4:AT6"/>
    <mergeCell ref="AU4:AU6"/>
    <mergeCell ref="F4:F6"/>
    <mergeCell ref="AR4:AR6"/>
    <mergeCell ref="AN4:AN6"/>
    <mergeCell ref="AI4:AI6"/>
    <mergeCell ref="AJ4:AJ6"/>
    <mergeCell ref="G4:G6"/>
    <mergeCell ref="AH4:AH6"/>
    <mergeCell ref="AS4:AS6"/>
    <mergeCell ref="H4:H6"/>
    <mergeCell ref="I4:I6"/>
    <mergeCell ref="AO4:AO6"/>
    <mergeCell ref="AP4:AP6"/>
    <mergeCell ref="AQ4:AQ6"/>
    <mergeCell ref="AL4:AL6"/>
  </mergeCells>
  <conditionalFormatting sqref="V4 V7 V9:V11">
    <cfRule type="expression" dxfId="364" priority="40" stopIfTrue="1">
      <formula>NOT(ISERROR(SEARCH("Muy alta",V4)))</formula>
    </cfRule>
    <cfRule type="expression" dxfId="363" priority="41" stopIfTrue="1">
      <formula>NOT(ISERROR(SEARCH("Alta",V4)))</formula>
    </cfRule>
    <cfRule type="expression" dxfId="362" priority="42" stopIfTrue="1">
      <formula>NOT(ISERROR(SEARCH("Media",V4)))</formula>
    </cfRule>
  </conditionalFormatting>
  <conditionalFormatting sqref="X4 X7 X9:X11">
    <cfRule type="containsText" dxfId="361" priority="9" operator="containsText" text="Catastrófico">
      <formula>NOT(ISERROR(SEARCH("Catastrófico",X4)))</formula>
    </cfRule>
    <cfRule type="containsText" dxfId="360" priority="10" operator="containsText" text="Mayor">
      <formula>NOT(ISERROR(SEARCH("Mayor",X4)))</formula>
    </cfRule>
    <cfRule type="containsText" dxfId="359" priority="11" operator="containsText" text="Moderado">
      <formula>NOT(ISERROR(SEARCH("Moderado",X4)))</formula>
    </cfRule>
    <cfRule type="containsText" dxfId="358" priority="12" operator="containsText" text="Menor">
      <formula>NOT(ISERROR(SEARCH("Menor",X4)))</formula>
    </cfRule>
    <cfRule type="containsText" dxfId="357" priority="13" operator="containsText" text="Leve">
      <formula>NOT(ISERROR(SEARCH("Leve",X4)))</formula>
    </cfRule>
  </conditionalFormatting>
  <conditionalFormatting sqref="Z4 Z7 Z9:Z11">
    <cfRule type="containsText" dxfId="356" priority="5" operator="containsText" text="Alto">
      <formula>NOT(ISERROR(SEARCH("Alto",Z4)))</formula>
    </cfRule>
    <cfRule type="containsText" dxfId="355" priority="6" operator="containsText" text="Moderado">
      <formula>NOT(ISERROR(SEARCH("Moderado",Z4)))</formula>
    </cfRule>
    <cfRule type="containsText" dxfId="354" priority="7" operator="containsText" text="Extremo">
      <formula>NOT(ISERROR(SEARCH("Extremo",Z4)))</formula>
    </cfRule>
    <cfRule type="containsText" dxfId="353" priority="8" operator="containsText" text="Bajo">
      <formula>NOT(ISERROR(SEARCH("Bajo",Z4)))</formula>
    </cfRule>
  </conditionalFormatting>
  <conditionalFormatting sqref="AC7">
    <cfRule type="containsText" dxfId="352" priority="37" operator="containsText" text="BAJA">
      <formula>NOT(ISERROR(SEARCH("BAJA",AC7)))</formula>
    </cfRule>
    <cfRule type="containsText" dxfId="351" priority="38" operator="containsText" text="MEDIA">
      <formula>NOT(ISERROR(SEARCH("MEDIA",AC7)))</formula>
    </cfRule>
    <cfRule type="containsText" dxfId="350" priority="39" operator="containsText" text="ALTA">
      <formula>NOT(ISERROR(SEARCH("ALTA",AC7)))</formula>
    </cfRule>
  </conditionalFormatting>
  <conditionalFormatting sqref="AI4 AI7:AI11">
    <cfRule type="containsText" dxfId="349" priority="28" operator="containsText" text="BAJA">
      <formula>NOT(ISERROR(SEARCH("BAJA",AI4)))</formula>
    </cfRule>
    <cfRule type="containsText" dxfId="348" priority="29" operator="containsText" text="MEDIA">
      <formula>NOT(ISERROR(SEARCH("MEDIA",AI4)))</formula>
    </cfRule>
    <cfRule type="containsText" dxfId="347" priority="30" operator="containsText" text="ALTA">
      <formula>NOT(ISERROR(SEARCH("ALTA",AI4)))</formula>
    </cfRule>
  </conditionalFormatting>
  <conditionalFormatting sqref="AJ9">
    <cfRule type="containsText" dxfId="346" priority="22" operator="containsText" text="BAJA">
      <formula>NOT(ISERROR(SEARCH("BAJA",AJ9)))</formula>
    </cfRule>
    <cfRule type="containsText" dxfId="345" priority="23" operator="containsText" text="MEDIA">
      <formula>NOT(ISERROR(SEARCH("MEDIA",AJ9)))</formula>
    </cfRule>
    <cfRule type="containsText" dxfId="344" priority="24" operator="containsText" text="ALTA">
      <formula>NOT(ISERROR(SEARCH("ALTA",AJ9)))</formula>
    </cfRule>
  </conditionalFormatting>
  <conditionalFormatting sqref="AK8">
    <cfRule type="containsText" dxfId="343" priority="25" operator="containsText" text="BAJA">
      <formula>NOT(ISERROR(SEARCH("BAJA",AK8)))</formula>
    </cfRule>
    <cfRule type="containsText" dxfId="342" priority="26" operator="containsText" text="MEDIA">
      <formula>NOT(ISERROR(SEARCH("MEDIA",AK8)))</formula>
    </cfRule>
    <cfRule type="containsText" dxfId="341" priority="27" operator="containsText" text="ALTA">
      <formula>NOT(ISERROR(SEARCH("ALTA",AK8)))</formula>
    </cfRule>
  </conditionalFormatting>
  <conditionalFormatting sqref="AK11">
    <cfRule type="containsText" dxfId="340" priority="19" operator="containsText" text="BAJA">
      <formula>NOT(ISERROR(SEARCH("BAJA",AK11)))</formula>
    </cfRule>
    <cfRule type="containsText" dxfId="339" priority="20" operator="containsText" text="MEDIA">
      <formula>NOT(ISERROR(SEARCH("MEDIA",AK11)))</formula>
    </cfRule>
    <cfRule type="containsText" dxfId="338" priority="21" operator="containsText" text="ALTA">
      <formula>NOT(ISERROR(SEARCH("ALTA",AK11)))</formula>
    </cfRule>
  </conditionalFormatting>
  <dataValidations count="3">
    <dataValidation type="list" allowBlank="1" showInputMessage="1" showErrorMessage="1" sqref="A4 A7:A11">
      <formula1>"SI,NO"</formula1>
    </dataValidation>
    <dataValidation type="list" allowBlank="1" showInputMessage="1" showErrorMessage="1" sqref="AI4 AI7:AI11">
      <formula1>"Confiable,No confiable"</formula1>
    </dataValidation>
    <dataValidation type="list" allowBlank="1" showInputMessage="1" showErrorMessage="1" sqref="AF4 AF7:AF11">
      <formula1>"Manual,Automático"</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
  <sheetViews>
    <sheetView topLeftCell="A13" zoomScale="68" zoomScaleNormal="68" workbookViewId="0">
      <selection activeCell="A13" sqref="A13"/>
    </sheetView>
  </sheetViews>
  <sheetFormatPr baseColWidth="10" defaultColWidth="17.28515625" defaultRowHeight="118.9" customHeight="1"/>
  <cols>
    <col min="1" max="1" width="14.140625" style="81" customWidth="1"/>
    <col min="2" max="2" width="14" style="63" customWidth="1"/>
    <col min="3" max="3" width="17.28515625" style="63" customWidth="1"/>
    <col min="4" max="4" width="19.42578125" style="63" customWidth="1"/>
    <col min="5" max="5" width="19.5703125" style="63" customWidth="1"/>
    <col min="6" max="6" width="59.7109375" style="567" customWidth="1"/>
    <col min="7" max="7" width="9.7109375" style="53" customWidth="1"/>
    <col min="8" max="8" width="44" style="53" customWidth="1"/>
    <col min="9" max="9" width="44.28515625" style="53" customWidth="1"/>
    <col min="10" max="10" width="14.7109375" style="53" bestFit="1" customWidth="1"/>
    <col min="11" max="11" width="16.7109375" style="53" customWidth="1"/>
    <col min="12" max="12" width="19.28515625" style="53" customWidth="1"/>
    <col min="13" max="13" width="46.140625" style="53" customWidth="1"/>
    <col min="14" max="14" width="19.28515625" style="53" customWidth="1"/>
    <col min="15" max="15" width="45.28515625" style="53" customWidth="1"/>
    <col min="16" max="16" width="17.7109375" style="53" customWidth="1"/>
    <col min="17" max="17" width="32.42578125" style="53" customWidth="1"/>
    <col min="18" max="18" width="17.140625" style="53" customWidth="1"/>
    <col min="19" max="21" width="21.85546875" style="53" customWidth="1"/>
    <col min="22" max="22" width="15" style="53" customWidth="1"/>
    <col min="23" max="23" width="12.28515625" style="64" customWidth="1"/>
    <col min="24" max="24" width="13.7109375" style="53" customWidth="1"/>
    <col min="25" max="25" width="14.7109375" style="64" customWidth="1"/>
    <col min="26" max="26" width="16.85546875" style="53" bestFit="1" customWidth="1"/>
    <col min="27" max="27" width="7.85546875" style="53" customWidth="1"/>
    <col min="28" max="28" width="28.140625" style="53" customWidth="1"/>
    <col min="29" max="29" width="101.140625" style="53" customWidth="1"/>
    <col min="30" max="30" width="10" style="53" bestFit="1" customWidth="1"/>
    <col min="31" max="31" width="8.42578125" style="64" customWidth="1"/>
    <col min="32" max="32" width="20.28515625" style="64" customWidth="1"/>
    <col min="33" max="33" width="9" style="64" customWidth="1"/>
    <col min="34" max="34" width="14.140625" style="64" customWidth="1"/>
    <col min="35" max="35" width="16.42578125" style="53" customWidth="1"/>
    <col min="36" max="36" width="14.7109375" style="63" customWidth="1"/>
    <col min="37" max="37" width="36.5703125" style="53" customWidth="1"/>
    <col min="38" max="38" width="13.7109375" style="53" customWidth="1"/>
    <col min="39" max="39" width="13.7109375" style="65" customWidth="1"/>
    <col min="40" max="40" width="13.7109375" style="53" customWidth="1"/>
    <col min="41" max="41" width="15.28515625" style="53" customWidth="1"/>
    <col min="42" max="42" width="2.28515625" style="66" customWidth="1"/>
    <col min="43" max="43" width="49.28515625" style="66" customWidth="1"/>
    <col min="44" max="44" width="17" style="63" customWidth="1"/>
    <col min="45" max="45" width="11.5703125" style="82" customWidth="1"/>
    <col min="46" max="46" width="22.28515625" style="82" customWidth="1"/>
    <col min="47" max="47" width="21.85546875" style="53" customWidth="1"/>
    <col min="48" max="57" width="18.140625" style="81" customWidth="1"/>
    <col min="58" max="216" width="11.42578125" style="81" customWidth="1"/>
    <col min="217" max="217" width="21.85546875" style="81" customWidth="1"/>
    <col min="218" max="218" width="13.85546875" style="81" customWidth="1"/>
    <col min="219" max="219" width="38.7109375" style="81" customWidth="1"/>
    <col min="220" max="220" width="3" style="81" bestFit="1" customWidth="1"/>
    <col min="221" max="221" width="32.28515625" style="81" customWidth="1"/>
    <col min="222" max="222" width="46.28515625" style="81" customWidth="1"/>
    <col min="223" max="223" width="19" style="81" customWidth="1"/>
    <col min="224" max="224" width="11.42578125" style="81" customWidth="1"/>
    <col min="225" max="225" width="17.7109375" style="81" customWidth="1"/>
    <col min="226" max="226" width="11.42578125" style="81" customWidth="1"/>
    <col min="227" max="227" width="22.28515625" style="81" customWidth="1"/>
    <col min="228" max="228" width="5.28515625" style="81" customWidth="1"/>
    <col min="229" max="229" width="36.28515625" style="81" customWidth="1"/>
    <col min="230" max="230" width="5.7109375" style="81" customWidth="1"/>
    <col min="231" max="231" width="11.42578125" style="81" customWidth="1"/>
    <col min="232" max="232" width="20.7109375" style="81" customWidth="1"/>
    <col min="233" max="233" width="4.85546875" style="81" customWidth="1"/>
    <col min="234" max="234" width="11.42578125" style="81" customWidth="1"/>
    <col min="235" max="235" width="24.7109375" style="81" customWidth="1"/>
    <col min="236" max="236" width="12.28515625" style="81" customWidth="1"/>
    <col min="237" max="237" width="11.42578125" style="81" customWidth="1"/>
    <col min="238" max="238" width="3.42578125" style="81" customWidth="1"/>
    <col min="239" max="239" width="11.42578125" style="81" customWidth="1"/>
    <col min="240" max="240" width="17.7109375" style="81" customWidth="1"/>
    <col min="241" max="241" width="3.42578125" style="81" customWidth="1"/>
    <col min="242" max="242" width="11.42578125" style="81" customWidth="1"/>
    <col min="243" max="243" width="23.7109375" style="81" customWidth="1"/>
    <col min="244" max="244" width="10" style="81" customWidth="1"/>
    <col min="245" max="245" width="11.42578125" style="81" customWidth="1"/>
    <col min="246" max="247" width="14.7109375" style="81" customWidth="1"/>
    <col min="248" max="248" width="12.85546875" style="81" customWidth="1"/>
    <col min="249" max="249" width="3.28515625" style="81" customWidth="1"/>
    <col min="250" max="250" width="30.28515625" style="81" customWidth="1"/>
    <col min="251" max="251" width="5" style="81" customWidth="1"/>
    <col min="252" max="252" width="11.42578125" style="81" customWidth="1"/>
    <col min="253" max="253" width="14.28515625" style="81" customWidth="1"/>
    <col min="254" max="254" width="5.7109375" style="81" customWidth="1"/>
    <col min="255" max="255" width="11.42578125" style="81" customWidth="1"/>
    <col min="256" max="16384" width="17.28515625" style="81"/>
  </cols>
  <sheetData>
    <row r="1" spans="1:59" ht="80.45"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118.9"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s="46" customFormat="1" ht="118.9" customHeight="1">
      <c r="A3" s="611" t="s">
        <v>199</v>
      </c>
      <c r="B3" s="611" t="s">
        <v>144</v>
      </c>
      <c r="C3" s="611" t="s">
        <v>6</v>
      </c>
      <c r="D3" s="611" t="s">
        <v>1</v>
      </c>
      <c r="E3" s="611" t="s">
        <v>2</v>
      </c>
      <c r="F3" s="565"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ht="118.9" customHeight="1">
      <c r="A4" s="831" t="s">
        <v>51</v>
      </c>
      <c r="B4" s="815" t="s">
        <v>112</v>
      </c>
      <c r="C4" s="815" t="s">
        <v>152</v>
      </c>
      <c r="D4" s="815" t="s">
        <v>18</v>
      </c>
      <c r="E4" s="815" t="s">
        <v>96</v>
      </c>
      <c r="F4" s="1041" t="s">
        <v>736</v>
      </c>
      <c r="G4" s="834" t="s">
        <v>737</v>
      </c>
      <c r="H4" s="1041" t="s">
        <v>738</v>
      </c>
      <c r="I4" s="1041" t="s">
        <v>739</v>
      </c>
      <c r="J4" s="815" t="s">
        <v>50</v>
      </c>
      <c r="K4" s="815">
        <v>52</v>
      </c>
      <c r="L4" s="926">
        <f>IF(J4="Diaria",+(K4/360),IF(J4="Semanal",+(K4/52),IF(J4="Mensual",+(K4/12),IF(J4="Bimestral",+(K4/6),IF(J4="Trimestral",+(K4/4),IF(J4="Semestral",+(K4/2),IF(J4="Anual",+(K4/1),"")))))))</f>
        <v>1</v>
      </c>
      <c r="M4" s="815" t="s">
        <v>30</v>
      </c>
      <c r="N4" s="926">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0.2</v>
      </c>
      <c r="O4" s="815" t="s">
        <v>31</v>
      </c>
      <c r="P4" s="926">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0.2</v>
      </c>
      <c r="Q4" s="815" t="s">
        <v>73</v>
      </c>
      <c r="R4" s="926">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831" t="s">
        <v>60</v>
      </c>
      <c r="T4" s="831" t="s">
        <v>45</v>
      </c>
      <c r="U4" s="926">
        <f>+MAX(N4,P4,R4)</f>
        <v>0.2</v>
      </c>
      <c r="V4" s="912" t="str">
        <f>IF(L4&lt;=20%,"Muy baja",IF(L4&lt;=40%,"Baja",IF(L4&lt;=60%,"Media",IF(L4&lt;=80%,"Alta",IF(L4&lt;=100%,"Muy alta",IF(L4&gt;=100%,"Muy alta",""))))))</f>
        <v>Muy alta</v>
      </c>
      <c r="W4" s="926">
        <f>+IFERROR(VLOOKUP(V4,formulas!$F$1:$G$6,2,FALSE),"")</f>
        <v>1</v>
      </c>
      <c r="X4" s="911" t="str">
        <f>IF(U4=20%,"Leve",IF(U4=40%,"Menor",IF(U4=60%,"Moderado",IF(U4=80%,"Mayor",IF(U4=100%,"Catastrófico","")))))</f>
        <v>Leve</v>
      </c>
      <c r="Y4" s="926">
        <f>+IFERROR(VLOOKUP(X4,formulas!$H$1:$I$6,2,FALSE),"")</f>
        <v>0.2</v>
      </c>
      <c r="Z4" s="911" t="str">
        <f>+IFERROR(VLOOKUP(V4&amp;X4,formulas!$C$2:$D$26,2,FALSE),"")</f>
        <v>Alto</v>
      </c>
      <c r="AA4" s="926">
        <f>IF(Z4="Bajo",25%,IF(Z4="Moderado",50%,IF(Z4="Alto",75%,IF(Z4="Extremo",100%,""))))</f>
        <v>0.75</v>
      </c>
      <c r="AB4" s="818" t="s">
        <v>740</v>
      </c>
      <c r="AC4" s="731" t="s">
        <v>741</v>
      </c>
      <c r="AD4" s="613" t="s">
        <v>57</v>
      </c>
      <c r="AE4" s="656">
        <f t="shared" ref="AE4:AE15" si="0">IF(AD4="Preventivo",25%,IF(AD4="Detectivo",15%,IF(AD4="Correctivo",10%,"")))</f>
        <v>0.25</v>
      </c>
      <c r="AF4" s="613" t="s">
        <v>229</v>
      </c>
      <c r="AG4" s="656">
        <f>IF(AF4="Manual",15%,IF(AF4="Automático",25%,""))</f>
        <v>0.15</v>
      </c>
      <c r="AH4" s="656">
        <f t="shared" ref="AH4:AH15" si="1">+AG4+AE4</f>
        <v>0.4</v>
      </c>
      <c r="AI4" s="613" t="s">
        <v>230</v>
      </c>
      <c r="AJ4" s="613" t="s">
        <v>24</v>
      </c>
      <c r="AK4" s="731" t="s">
        <v>742</v>
      </c>
      <c r="AL4" s="647">
        <f>+AA4*AH4</f>
        <v>0.30000000000000004</v>
      </c>
      <c r="AM4" s="647">
        <f>+AA4-AL4</f>
        <v>0.44999999999999996</v>
      </c>
      <c r="AN4" s="911" t="str">
        <f>+IF(C4="Corrupción","Moderado",IF(AM7&lt;=25%,"Bajo",IF(AM7&lt;=50%,"Moderado",IF(AM7&lt;=75%,"Alto",IF(AM7&gt;75%,"Extremo","")))))</f>
        <v>Bajo</v>
      </c>
      <c r="AO4" s="831" t="s">
        <v>59</v>
      </c>
      <c r="AP4" s="201">
        <v>1</v>
      </c>
      <c r="AQ4" s="202" t="s">
        <v>743</v>
      </c>
      <c r="AR4" s="193" t="s">
        <v>744</v>
      </c>
      <c r="AS4" s="176">
        <v>45658</v>
      </c>
      <c r="AT4" s="176">
        <v>46022</v>
      </c>
      <c r="AU4" s="203" t="s">
        <v>745</v>
      </c>
      <c r="AV4" s="613"/>
      <c r="AW4" s="613"/>
      <c r="AX4" s="613"/>
      <c r="AY4" s="613"/>
      <c r="AZ4" s="613"/>
      <c r="BA4" s="613"/>
      <c r="BB4" s="613"/>
      <c r="BC4" s="613"/>
      <c r="BD4" s="613"/>
      <c r="BE4" s="613"/>
      <c r="BF4" s="640"/>
      <c r="BG4" s="640"/>
    </row>
    <row r="5" spans="1:59" ht="75.75" customHeight="1">
      <c r="A5" s="831"/>
      <c r="B5" s="815"/>
      <c r="C5" s="815"/>
      <c r="D5" s="815"/>
      <c r="E5" s="815"/>
      <c r="F5" s="1041"/>
      <c r="G5" s="834"/>
      <c r="H5" s="1041"/>
      <c r="I5" s="1041"/>
      <c r="J5" s="815"/>
      <c r="K5" s="815"/>
      <c r="L5" s="926"/>
      <c r="M5" s="815"/>
      <c r="N5" s="926"/>
      <c r="O5" s="815"/>
      <c r="P5" s="926"/>
      <c r="Q5" s="815"/>
      <c r="R5" s="926"/>
      <c r="S5" s="831"/>
      <c r="T5" s="831"/>
      <c r="U5" s="926"/>
      <c r="V5" s="915"/>
      <c r="W5" s="926"/>
      <c r="X5" s="821"/>
      <c r="Y5" s="926"/>
      <c r="Z5" s="821"/>
      <c r="AA5" s="926"/>
      <c r="AB5" s="818"/>
      <c r="AC5" s="613" t="s">
        <v>746</v>
      </c>
      <c r="AD5" s="613" t="s">
        <v>39</v>
      </c>
      <c r="AE5" s="656">
        <f t="shared" si="0"/>
        <v>0.15</v>
      </c>
      <c r="AF5" s="613" t="s">
        <v>229</v>
      </c>
      <c r="AG5" s="656">
        <f t="shared" ref="AG5:AG15" si="2">IF(AF5="Manual",15%,IF(AF5="Automático",25%,""))</f>
        <v>0.15</v>
      </c>
      <c r="AH5" s="656">
        <f t="shared" si="1"/>
        <v>0.3</v>
      </c>
      <c r="AI5" s="613" t="s">
        <v>230</v>
      </c>
      <c r="AJ5" s="613" t="s">
        <v>24</v>
      </c>
      <c r="AK5" s="731" t="s">
        <v>747</v>
      </c>
      <c r="AL5" s="647">
        <f>+AM4*AH5</f>
        <v>0.13499999999999998</v>
      </c>
      <c r="AM5" s="647">
        <f>+AM4-AL5</f>
        <v>0.31499999999999995</v>
      </c>
      <c r="AN5" s="821"/>
      <c r="AO5" s="831"/>
      <c r="AP5" s="640">
        <v>2</v>
      </c>
      <c r="AQ5" s="613"/>
      <c r="AR5" s="613" t="s">
        <v>748</v>
      </c>
      <c r="AS5" s="176">
        <v>45658</v>
      </c>
      <c r="AT5" s="176">
        <v>46022</v>
      </c>
      <c r="AU5" s="203" t="s">
        <v>749</v>
      </c>
      <c r="AV5" s="613"/>
      <c r="AW5" s="613"/>
      <c r="AX5" s="613"/>
      <c r="AY5" s="613"/>
      <c r="AZ5" s="613"/>
      <c r="BA5" s="613"/>
      <c r="BB5" s="613"/>
      <c r="BC5" s="613"/>
      <c r="BD5" s="613"/>
      <c r="BE5" s="613"/>
      <c r="BF5" s="640"/>
      <c r="BG5" s="640"/>
    </row>
    <row r="6" spans="1:59" ht="78" customHeight="1">
      <c r="A6" s="831"/>
      <c r="B6" s="815"/>
      <c r="C6" s="815"/>
      <c r="D6" s="815"/>
      <c r="E6" s="815"/>
      <c r="F6" s="1041"/>
      <c r="G6" s="834"/>
      <c r="H6" s="1041"/>
      <c r="I6" s="1041"/>
      <c r="J6" s="815"/>
      <c r="K6" s="815"/>
      <c r="L6" s="926"/>
      <c r="M6" s="815"/>
      <c r="N6" s="926"/>
      <c r="O6" s="815"/>
      <c r="P6" s="926"/>
      <c r="Q6" s="815"/>
      <c r="R6" s="926"/>
      <c r="S6" s="831"/>
      <c r="T6" s="831"/>
      <c r="U6" s="926"/>
      <c r="V6" s="915"/>
      <c r="W6" s="926"/>
      <c r="X6" s="821"/>
      <c r="Y6" s="926"/>
      <c r="Z6" s="821"/>
      <c r="AA6" s="926"/>
      <c r="AB6" s="818"/>
      <c r="AC6" s="613" t="s">
        <v>750</v>
      </c>
      <c r="AD6" s="613" t="s">
        <v>57</v>
      </c>
      <c r="AE6" s="656">
        <f t="shared" si="0"/>
        <v>0.25</v>
      </c>
      <c r="AF6" s="613" t="s">
        <v>229</v>
      </c>
      <c r="AG6" s="656">
        <f t="shared" si="2"/>
        <v>0.15</v>
      </c>
      <c r="AH6" s="656">
        <f t="shared" si="1"/>
        <v>0.4</v>
      </c>
      <c r="AI6" s="613" t="s">
        <v>230</v>
      </c>
      <c r="AJ6" s="613" t="s">
        <v>24</v>
      </c>
      <c r="AK6" s="731" t="s">
        <v>747</v>
      </c>
      <c r="AL6" s="647">
        <f>+AM5*AH6</f>
        <v>0.12599999999999997</v>
      </c>
      <c r="AM6" s="647">
        <f>+AM5-AL6</f>
        <v>0.18899999999999997</v>
      </c>
      <c r="AN6" s="821"/>
      <c r="AO6" s="831"/>
      <c r="AP6" s="640">
        <v>3</v>
      </c>
      <c r="AQ6" s="613"/>
      <c r="AR6" s="613" t="s">
        <v>164</v>
      </c>
      <c r="AS6" s="176">
        <v>45658</v>
      </c>
      <c r="AT6" s="176">
        <v>46022</v>
      </c>
      <c r="AU6" s="203"/>
      <c r="AV6" s="613"/>
      <c r="AW6" s="613"/>
      <c r="AX6" s="613"/>
      <c r="AY6" s="613"/>
      <c r="AZ6" s="613"/>
      <c r="BA6" s="613"/>
      <c r="BB6" s="613"/>
      <c r="BC6" s="613"/>
      <c r="BD6" s="613"/>
      <c r="BE6" s="613"/>
      <c r="BF6" s="640"/>
      <c r="BG6" s="640"/>
    </row>
    <row r="7" spans="1:59" ht="118.9" customHeight="1" thickBot="1">
      <c r="A7" s="827"/>
      <c r="B7" s="816"/>
      <c r="C7" s="816"/>
      <c r="D7" s="816"/>
      <c r="E7" s="816"/>
      <c r="F7" s="1042"/>
      <c r="G7" s="835"/>
      <c r="H7" s="1042"/>
      <c r="I7" s="1042"/>
      <c r="J7" s="816"/>
      <c r="K7" s="816"/>
      <c r="L7" s="927"/>
      <c r="M7" s="816"/>
      <c r="N7" s="927"/>
      <c r="O7" s="816"/>
      <c r="P7" s="927"/>
      <c r="Q7" s="816"/>
      <c r="R7" s="927"/>
      <c r="S7" s="827"/>
      <c r="T7" s="827"/>
      <c r="U7" s="927"/>
      <c r="V7" s="913"/>
      <c r="W7" s="927"/>
      <c r="X7" s="822"/>
      <c r="Y7" s="927"/>
      <c r="Z7" s="822"/>
      <c r="AA7" s="927"/>
      <c r="AB7" s="819"/>
      <c r="AC7" s="736" t="s">
        <v>751</v>
      </c>
      <c r="AD7" s="614" t="s">
        <v>39</v>
      </c>
      <c r="AE7" s="657">
        <f t="shared" si="0"/>
        <v>0.15</v>
      </c>
      <c r="AF7" s="614" t="s">
        <v>229</v>
      </c>
      <c r="AG7" s="657">
        <f t="shared" si="2"/>
        <v>0.15</v>
      </c>
      <c r="AH7" s="657">
        <f t="shared" si="1"/>
        <v>0.3</v>
      </c>
      <c r="AI7" s="614" t="s">
        <v>230</v>
      </c>
      <c r="AJ7" s="614" t="s">
        <v>24</v>
      </c>
      <c r="AK7" s="629" t="s">
        <v>752</v>
      </c>
      <c r="AL7" s="648">
        <f>+AM6*AH7</f>
        <v>5.6699999999999987E-2</v>
      </c>
      <c r="AM7" s="648">
        <f>+AM6-AL7</f>
        <v>0.13229999999999997</v>
      </c>
      <c r="AN7" s="822"/>
      <c r="AO7" s="827"/>
      <c r="AP7" s="638">
        <v>4</v>
      </c>
      <c r="AQ7" s="346"/>
      <c r="AR7" s="614" t="s">
        <v>753</v>
      </c>
      <c r="AS7" s="177">
        <v>45658</v>
      </c>
      <c r="AT7" s="177">
        <v>46022</v>
      </c>
      <c r="AU7" s="614"/>
      <c r="AV7" s="614"/>
      <c r="AW7" s="614"/>
      <c r="AX7" s="614"/>
      <c r="AY7" s="614"/>
      <c r="AZ7" s="614"/>
      <c r="BA7" s="614"/>
      <c r="BB7" s="614"/>
      <c r="BC7" s="614"/>
      <c r="BD7" s="614"/>
      <c r="BE7" s="614"/>
      <c r="BF7" s="638"/>
      <c r="BG7" s="638"/>
    </row>
    <row r="8" spans="1:59" ht="118.9" customHeight="1" thickBot="1">
      <c r="A8" s="174" t="s">
        <v>51</v>
      </c>
      <c r="B8" s="175" t="s">
        <v>112</v>
      </c>
      <c r="C8" s="175" t="s">
        <v>152</v>
      </c>
      <c r="D8" s="175" t="s">
        <v>12</v>
      </c>
      <c r="E8" s="175" t="s">
        <v>96</v>
      </c>
      <c r="F8" s="566" t="s">
        <v>754</v>
      </c>
      <c r="G8" s="175" t="s">
        <v>755</v>
      </c>
      <c r="H8" s="175" t="s">
        <v>756</v>
      </c>
      <c r="I8" s="175" t="s">
        <v>757</v>
      </c>
      <c r="J8" s="175" t="s">
        <v>33</v>
      </c>
      <c r="K8" s="175">
        <v>0</v>
      </c>
      <c r="L8" s="173">
        <f t="shared" ref="L8:L15" si="3">IF(J8="Diaria",+(K8/360),IF(J8="Semanal",+(K8/52),IF(J8="Mensual",+(K8/12),IF(J8="Bimestral",+(K8/6),IF(J8="Trimestral",+(K8/4),IF(J8="Semestral",+(K8/2),IF(J8="Anual",+(K8/1),"")))))))</f>
        <v>0</v>
      </c>
      <c r="M8" s="175" t="str">
        <f>+M4</f>
        <v>Menor al 1% del patrimonio de la Lotería de Bogotá</v>
      </c>
      <c r="N8" s="173">
        <f t="shared" ref="N8:N15" si="4">IF(M8="Menor al 1% del patrimonio de la Lotería de Bogotá",20%,IF(M8="Entre el 1% y el 3% del patrimonio de la Lotería de Bogotá",40%,IF(M8="Entre el 3% y el 6% del patrimonio de la Lotería de Bogotá",60%,IF(M8="Entre el 6% y el 10% del patrimonio de la Lotería de Bogotá",80%,IF(M8="Mayor al 10% del patrimonio de la Lotería de Bogotá",100%,IF(M8="NA",0%,""))))))</f>
        <v>0.2</v>
      </c>
      <c r="O8" s="175" t="str">
        <f>+O4</f>
        <v>El riesgo afecta la imagen de algún área de la organización</v>
      </c>
      <c r="P8" s="173">
        <f t="shared" ref="P8:P15" si="5">IF(O8="El riesgo afecta la imagen de algún área de la organización",20%,IF(O8="El riesgo afecta la imagen de la entidad internamente, de conocimiento general nivel interno, de junta directiva y accionistas y/o de proveedores",40%,IF(O8="El riesgo afecta la imagen de la entidad con algunos usuarios de relevancia frente al logro de los objetivos",60%,IF(O8="El riesgo afecta la imagen de la entidad con efecto publicitario sostenido a nivel de sector administrativo, nivel departamental o municipal",80%,IF(O8="El riesgo afecta la imagen de la entidad a nivel nacional, con efecto publicitario sostenido a nivel país",100%,IF(O8="NA",0%,""))))))</f>
        <v>0.2</v>
      </c>
      <c r="Q8" s="175" t="s">
        <v>73</v>
      </c>
      <c r="R8" s="173">
        <f t="shared" ref="R8:R15" si="6">IF(Q8="Interrupción de la operación por menos de un día",20%,IF(Q8="Interrupción de la operación por un día completo",40%,IF(Q8="Interrupción de la operación mayor a 1 día y menor a 2 días",60%,IF(Q8="Interrupción de la operación por dos días completos",80%,IF(Q8="Interrupción de la operación por más de dos días",100%,IF(Q8="NA",0%,""))))))</f>
        <v>0</v>
      </c>
      <c r="S8" s="174" t="s">
        <v>60</v>
      </c>
      <c r="T8" s="658" t="s">
        <v>45</v>
      </c>
      <c r="U8" s="712">
        <f t="shared" ref="U8:U15" si="7">+MAX(N8,P8,R8)</f>
        <v>0.2</v>
      </c>
      <c r="V8" s="420" t="str">
        <f t="shared" ref="V8:V15" si="8">IF(L8&lt;=20%,"Muy baja",IF(L8&lt;=40%,"Baja",IF(L8&lt;=60%,"Media",IF(L8&lt;=80%,"Alta",IF(L8&lt;=100%,"Muy alta",IF(L8&gt;=100%,"Muy alta",""))))))</f>
        <v>Muy baja</v>
      </c>
      <c r="W8" s="712">
        <f>+IFERROR(VLOOKUP(V8,formulas!$F$1:$G$6,2,FALSE),"")</f>
        <v>0.2</v>
      </c>
      <c r="X8" s="619" t="str">
        <f t="shared" ref="X8:X15" si="9">IF(U8=20%,"Leve",IF(U8=40%,"Menor",IF(U8=60%,"Moderado",IF(U8=80%,"Mayor",IF(U8=100%,"Catastrófico","")))))</f>
        <v>Leve</v>
      </c>
      <c r="Y8" s="712">
        <f>+IFERROR(VLOOKUP(X8,formulas!$H$1:$I$6,2,FALSE),"")</f>
        <v>0.2</v>
      </c>
      <c r="Z8" s="619" t="str">
        <f>+IFERROR(VLOOKUP(V8&amp;X8,formulas!$C$2:$D$26,2,FALSE),"")</f>
        <v>Bajo</v>
      </c>
      <c r="AA8" s="712">
        <f t="shared" ref="AA8:AA15" si="10">IF(Z8="Bajo",25%,IF(Z8="Moderado",50%,IF(Z8="Alto",75%,IF(Z8="Extremo",100%,""))))</f>
        <v>0.25</v>
      </c>
      <c r="AB8" s="689" t="s">
        <v>758</v>
      </c>
      <c r="AC8" s="716" t="s">
        <v>759</v>
      </c>
      <c r="AD8" s="716" t="s">
        <v>57</v>
      </c>
      <c r="AE8" s="712">
        <f t="shared" si="0"/>
        <v>0.25</v>
      </c>
      <c r="AF8" s="716" t="s">
        <v>229</v>
      </c>
      <c r="AG8" s="712">
        <f t="shared" si="2"/>
        <v>0.15</v>
      </c>
      <c r="AH8" s="712">
        <f t="shared" si="1"/>
        <v>0.4</v>
      </c>
      <c r="AI8" s="716" t="s">
        <v>230</v>
      </c>
      <c r="AJ8" s="716" t="s">
        <v>24</v>
      </c>
      <c r="AK8" s="716" t="s">
        <v>760</v>
      </c>
      <c r="AL8" s="635">
        <f t="shared" ref="AL8:AL15" si="11">+AA8*AH8</f>
        <v>0.1</v>
      </c>
      <c r="AM8" s="635">
        <f t="shared" ref="AM8:AM15" si="12">+AA8-AL8</f>
        <v>0.15</v>
      </c>
      <c r="AN8" s="619" t="str">
        <f>+IF(C8="Corrupción","Moderado",IF(AM8&lt;=25%,"Bajo",IF(AM8&lt;=50%,"Moderado",IF(AM8&lt;=75%,"Alto",IF(AM8&gt;75%,"Extremo","")))))</f>
        <v>Bajo</v>
      </c>
      <c r="AO8" s="174" t="s">
        <v>59</v>
      </c>
      <c r="AP8" s="206">
        <v>1</v>
      </c>
      <c r="AQ8" s="196" t="s">
        <v>761</v>
      </c>
      <c r="AR8" s="196" t="s">
        <v>762</v>
      </c>
      <c r="AS8" s="262">
        <v>45658</v>
      </c>
      <c r="AT8" s="262">
        <v>46022</v>
      </c>
      <c r="AU8" s="207" t="s">
        <v>763</v>
      </c>
      <c r="AV8" s="175"/>
      <c r="AW8" s="175"/>
      <c r="AX8" s="175"/>
      <c r="AY8" s="175"/>
      <c r="AZ8" s="175"/>
      <c r="BA8" s="175"/>
      <c r="BB8" s="175"/>
      <c r="BC8" s="175"/>
      <c r="BD8" s="175"/>
      <c r="BE8" s="175"/>
      <c r="BF8" s="210"/>
      <c r="BG8" s="210"/>
    </row>
    <row r="9" spans="1:59" ht="225.75" customHeight="1" thickBot="1">
      <c r="A9" s="826" t="s">
        <v>51</v>
      </c>
      <c r="B9" s="814" t="s">
        <v>112</v>
      </c>
      <c r="C9" s="814" t="s">
        <v>152</v>
      </c>
      <c r="D9" s="814" t="s">
        <v>35</v>
      </c>
      <c r="E9" s="814" t="s">
        <v>96</v>
      </c>
      <c r="F9" s="1039" t="s">
        <v>764</v>
      </c>
      <c r="G9" s="814" t="s">
        <v>765</v>
      </c>
      <c r="H9" s="814" t="s">
        <v>766</v>
      </c>
      <c r="I9" s="814" t="s">
        <v>767</v>
      </c>
      <c r="J9" s="814" t="s">
        <v>99</v>
      </c>
      <c r="K9" s="814">
        <v>0.5</v>
      </c>
      <c r="L9" s="953">
        <f t="shared" si="3"/>
        <v>0.5</v>
      </c>
      <c r="M9" s="814" t="s">
        <v>47</v>
      </c>
      <c r="N9" s="953">
        <f t="shared" si="4"/>
        <v>0.4</v>
      </c>
      <c r="O9" s="814" t="s">
        <v>73</v>
      </c>
      <c r="P9" s="953">
        <f t="shared" si="5"/>
        <v>0</v>
      </c>
      <c r="Q9" s="814" t="s">
        <v>73</v>
      </c>
      <c r="R9" s="953">
        <f t="shared" si="6"/>
        <v>0</v>
      </c>
      <c r="S9" s="826" t="s">
        <v>73</v>
      </c>
      <c r="T9" s="826" t="s">
        <v>73</v>
      </c>
      <c r="U9" s="944">
        <f t="shared" si="7"/>
        <v>0.4</v>
      </c>
      <c r="V9" s="915" t="str">
        <f t="shared" si="8"/>
        <v>Media</v>
      </c>
      <c r="W9" s="944">
        <f>+IFERROR(VLOOKUP(V9,formulas!$F$1:$G$6,2,FALSE),"")</f>
        <v>0.6</v>
      </c>
      <c r="X9" s="821" t="str">
        <f t="shared" si="9"/>
        <v>Menor</v>
      </c>
      <c r="Y9" s="944">
        <f>+IFERROR(VLOOKUP(X9,formulas!$H$1:$I$6,2,FALSE),"")</f>
        <v>0.4</v>
      </c>
      <c r="Z9" s="821" t="str">
        <f>+IFERROR(VLOOKUP(V9&amp;X9,formulas!$C$2:$D$26,2,FALSE),"")</f>
        <v>Moderado</v>
      </c>
      <c r="AA9" s="944">
        <f t="shared" si="10"/>
        <v>0.5</v>
      </c>
      <c r="AB9" s="1043" t="s">
        <v>768</v>
      </c>
      <c r="AC9" s="716" t="s">
        <v>769</v>
      </c>
      <c r="AD9" s="724" t="s">
        <v>770</v>
      </c>
      <c r="AE9" s="666" t="str">
        <f t="shared" si="0"/>
        <v/>
      </c>
      <c r="AF9" s="724" t="s">
        <v>229</v>
      </c>
      <c r="AG9" s="666">
        <f t="shared" si="2"/>
        <v>0.15</v>
      </c>
      <c r="AH9" s="666" t="e">
        <f t="shared" si="1"/>
        <v>#VALUE!</v>
      </c>
      <c r="AI9" s="724" t="s">
        <v>230</v>
      </c>
      <c r="AJ9" s="724" t="s">
        <v>24</v>
      </c>
      <c r="AK9" s="724" t="s">
        <v>771</v>
      </c>
      <c r="AL9" s="635" t="e">
        <f t="shared" si="11"/>
        <v>#VALUE!</v>
      </c>
      <c r="AM9" s="268" t="e">
        <f t="shared" si="12"/>
        <v>#VALUE!</v>
      </c>
      <c r="AN9" s="821" t="e">
        <f>+IF(C9="Corrupción","Moderado",IF(AM10&lt;=25%,"Bajo",IF(AM10&lt;=50%,"Moderado",IF(AM10&lt;=75%,"Alto",IF(AM10&gt;75%,"Extremo","")))))</f>
        <v>#VALUE!</v>
      </c>
      <c r="AO9" s="826" t="s">
        <v>59</v>
      </c>
      <c r="AP9" s="208">
        <v>1</v>
      </c>
      <c r="AQ9" s="612" t="s">
        <v>772</v>
      </c>
      <c r="AR9" s="490" t="s">
        <v>773</v>
      </c>
      <c r="AS9" s="178">
        <v>45658</v>
      </c>
      <c r="AT9" s="178">
        <v>46022</v>
      </c>
      <c r="AU9" s="612" t="s">
        <v>774</v>
      </c>
      <c r="AV9" s="637"/>
      <c r="AW9" s="637"/>
      <c r="AX9" s="637"/>
      <c r="AY9" s="637"/>
      <c r="AZ9" s="637"/>
      <c r="BA9" s="637"/>
      <c r="BB9" s="637"/>
      <c r="BC9" s="637"/>
      <c r="BD9" s="637"/>
      <c r="BE9" s="637"/>
      <c r="BF9" s="637"/>
      <c r="BG9" s="637"/>
    </row>
    <row r="10" spans="1:59" ht="201.75" customHeight="1" thickBot="1">
      <c r="A10" s="827"/>
      <c r="B10" s="816"/>
      <c r="C10" s="816"/>
      <c r="D10" s="816"/>
      <c r="E10" s="816"/>
      <c r="F10" s="1040"/>
      <c r="G10" s="816"/>
      <c r="H10" s="816"/>
      <c r="I10" s="816"/>
      <c r="J10" s="816"/>
      <c r="K10" s="816"/>
      <c r="L10" s="927"/>
      <c r="M10" s="816"/>
      <c r="N10" s="927"/>
      <c r="O10" s="816"/>
      <c r="P10" s="927"/>
      <c r="Q10" s="816"/>
      <c r="R10" s="927"/>
      <c r="S10" s="827"/>
      <c r="T10" s="827"/>
      <c r="U10" s="927"/>
      <c r="V10" s="913"/>
      <c r="W10" s="927"/>
      <c r="X10" s="822"/>
      <c r="Y10" s="927"/>
      <c r="Z10" s="822"/>
      <c r="AA10" s="927"/>
      <c r="AB10" s="1044"/>
      <c r="AC10" s="724" t="s">
        <v>775</v>
      </c>
      <c r="AD10" s="614" t="s">
        <v>57</v>
      </c>
      <c r="AE10" s="657">
        <f t="shared" si="0"/>
        <v>0.25</v>
      </c>
      <c r="AF10" s="614" t="s">
        <v>229</v>
      </c>
      <c r="AG10" s="657">
        <f t="shared" si="2"/>
        <v>0.15</v>
      </c>
      <c r="AH10" s="657">
        <f t="shared" si="1"/>
        <v>0.4</v>
      </c>
      <c r="AI10" s="614" t="s">
        <v>230</v>
      </c>
      <c r="AJ10" s="614" t="s">
        <v>41</v>
      </c>
      <c r="AK10" s="614" t="s">
        <v>73</v>
      </c>
      <c r="AL10" s="635">
        <f t="shared" si="11"/>
        <v>0</v>
      </c>
      <c r="AM10" s="648" t="e">
        <f>+AM9-AL10</f>
        <v>#VALUE!</v>
      </c>
      <c r="AN10" s="822"/>
      <c r="AO10" s="827"/>
      <c r="AP10" s="638">
        <v>2</v>
      </c>
      <c r="AQ10" s="614" t="s">
        <v>776</v>
      </c>
      <c r="AR10" s="490" t="s">
        <v>777</v>
      </c>
      <c r="AS10" s="177">
        <v>45658</v>
      </c>
      <c r="AT10" s="177">
        <v>46022</v>
      </c>
      <c r="AU10" s="614" t="s">
        <v>778</v>
      </c>
      <c r="AV10" s="638"/>
      <c r="AW10" s="638"/>
      <c r="AX10" s="638"/>
      <c r="AY10" s="638"/>
      <c r="AZ10" s="638"/>
      <c r="BA10" s="638"/>
      <c r="BB10" s="638"/>
      <c r="BC10" s="638"/>
      <c r="BD10" s="638"/>
      <c r="BE10" s="638"/>
      <c r="BF10" s="638"/>
      <c r="BG10" s="638"/>
    </row>
    <row r="11" spans="1:59" ht="118.9" customHeight="1">
      <c r="A11" s="826" t="s">
        <v>231</v>
      </c>
      <c r="B11" s="814" t="s">
        <v>112</v>
      </c>
      <c r="C11" s="814" t="s">
        <v>58</v>
      </c>
      <c r="D11" s="814" t="s">
        <v>79</v>
      </c>
      <c r="E11" s="814" t="s">
        <v>80</v>
      </c>
      <c r="F11" s="1039" t="s">
        <v>283</v>
      </c>
      <c r="G11" s="814" t="s">
        <v>284</v>
      </c>
      <c r="H11" s="814" t="s">
        <v>779</v>
      </c>
      <c r="I11" s="814" t="s">
        <v>286</v>
      </c>
      <c r="J11" s="814" t="s">
        <v>33</v>
      </c>
      <c r="K11" s="814">
        <v>0</v>
      </c>
      <c r="L11" s="953">
        <f t="shared" si="3"/>
        <v>0</v>
      </c>
      <c r="M11" s="814" t="s">
        <v>30</v>
      </c>
      <c r="N11" s="953">
        <f t="shared" si="4"/>
        <v>0.2</v>
      </c>
      <c r="O11" s="814" t="s">
        <v>48</v>
      </c>
      <c r="P11" s="953">
        <f t="shared" si="5"/>
        <v>0.4</v>
      </c>
      <c r="Q11" s="814" t="s">
        <v>73</v>
      </c>
      <c r="R11" s="953">
        <f t="shared" si="6"/>
        <v>0</v>
      </c>
      <c r="S11" s="826" t="s">
        <v>72</v>
      </c>
      <c r="T11" s="1038" t="s">
        <v>61</v>
      </c>
      <c r="U11" s="944">
        <f t="shared" si="7"/>
        <v>0.4</v>
      </c>
      <c r="V11" s="915" t="str">
        <f t="shared" si="8"/>
        <v>Muy baja</v>
      </c>
      <c r="W11" s="944">
        <f>+IFERROR(VLOOKUP(V11,formulas!$F$1:$G$6,2,FALSE),"")</f>
        <v>0.2</v>
      </c>
      <c r="X11" s="821" t="str">
        <f t="shared" si="9"/>
        <v>Menor</v>
      </c>
      <c r="Y11" s="944">
        <f>+IFERROR(VLOOKUP(X11,formulas!$H$1:$I$6,2,FALSE),"")</f>
        <v>0.4</v>
      </c>
      <c r="Z11" s="821" t="str">
        <f>+IFERROR(VLOOKUP(V11&amp;X11,formulas!$C$2:$D$26,2,FALSE),"")</f>
        <v>Bajo</v>
      </c>
      <c r="AA11" s="944">
        <f t="shared" si="10"/>
        <v>0.25</v>
      </c>
      <c r="AB11" s="714" t="s">
        <v>287</v>
      </c>
      <c r="AC11" s="724" t="s">
        <v>741</v>
      </c>
      <c r="AD11" s="724" t="s">
        <v>57</v>
      </c>
      <c r="AE11" s="666">
        <f t="shared" si="0"/>
        <v>0.25</v>
      </c>
      <c r="AF11" s="724" t="s">
        <v>229</v>
      </c>
      <c r="AG11" s="666">
        <f t="shared" si="2"/>
        <v>0.15</v>
      </c>
      <c r="AH11" s="666">
        <f t="shared" si="1"/>
        <v>0.4</v>
      </c>
      <c r="AI11" s="724" t="s">
        <v>230</v>
      </c>
      <c r="AJ11" s="724" t="s">
        <v>41</v>
      </c>
      <c r="AK11" s="362" t="s">
        <v>742</v>
      </c>
      <c r="AL11" s="268">
        <f>+AA11*AH11</f>
        <v>0.1</v>
      </c>
      <c r="AM11" s="268">
        <f t="shared" si="12"/>
        <v>0.15</v>
      </c>
      <c r="AN11" s="821" t="str">
        <f>+IF(C11="Corrupción","Moderado",IF(AM12&lt;=25%,"Bajo",IF(AM12&lt;=50%,"Moderado",IF(AM12&lt;=75%,"Alto",IF(AM12&gt;75%,"Extremo","")))))</f>
        <v>Moderado</v>
      </c>
      <c r="AO11" s="826" t="s">
        <v>59</v>
      </c>
      <c r="AP11" s="208">
        <v>1</v>
      </c>
      <c r="AQ11" s="612" t="s">
        <v>743</v>
      </c>
      <c r="AR11" s="197" t="s">
        <v>274</v>
      </c>
      <c r="AS11" s="178">
        <v>45972</v>
      </c>
      <c r="AT11" s="178">
        <v>46022</v>
      </c>
      <c r="AU11" s="612" t="s">
        <v>293</v>
      </c>
      <c r="AV11" s="637"/>
      <c r="AW11" s="637"/>
      <c r="AX11" s="637"/>
      <c r="AY11" s="637"/>
      <c r="AZ11" s="637"/>
      <c r="BA11" s="637"/>
      <c r="BB11" s="637"/>
      <c r="BC11" s="637"/>
      <c r="BD11" s="637"/>
      <c r="BE11" s="637"/>
      <c r="BF11" s="637"/>
      <c r="BG11" s="637"/>
    </row>
    <row r="12" spans="1:59" ht="118.9" customHeight="1" thickBot="1">
      <c r="A12" s="827"/>
      <c r="B12" s="816"/>
      <c r="C12" s="816"/>
      <c r="D12" s="816"/>
      <c r="E12" s="816"/>
      <c r="F12" s="1040"/>
      <c r="G12" s="816"/>
      <c r="H12" s="816"/>
      <c r="I12" s="816"/>
      <c r="J12" s="816"/>
      <c r="K12" s="816"/>
      <c r="L12" s="927"/>
      <c r="M12" s="816"/>
      <c r="N12" s="927"/>
      <c r="O12" s="816"/>
      <c r="P12" s="927"/>
      <c r="Q12" s="816"/>
      <c r="R12" s="927"/>
      <c r="S12" s="827"/>
      <c r="T12" s="827"/>
      <c r="U12" s="927"/>
      <c r="V12" s="913"/>
      <c r="W12" s="927"/>
      <c r="X12" s="822"/>
      <c r="Y12" s="927"/>
      <c r="Z12" s="822"/>
      <c r="AA12" s="927"/>
      <c r="AB12" s="617" t="s">
        <v>287</v>
      </c>
      <c r="AC12" s="614" t="s">
        <v>746</v>
      </c>
      <c r="AD12" s="614" t="s">
        <v>57</v>
      </c>
      <c r="AE12" s="657">
        <f t="shared" si="0"/>
        <v>0.25</v>
      </c>
      <c r="AF12" s="614" t="s">
        <v>229</v>
      </c>
      <c r="AG12" s="657">
        <f t="shared" si="2"/>
        <v>0.15</v>
      </c>
      <c r="AH12" s="657">
        <f t="shared" si="1"/>
        <v>0.4</v>
      </c>
      <c r="AI12" s="614" t="s">
        <v>230</v>
      </c>
      <c r="AJ12" s="614" t="s">
        <v>41</v>
      </c>
      <c r="AK12" s="629" t="s">
        <v>747</v>
      </c>
      <c r="AL12" s="648">
        <f>+AM11*AH12</f>
        <v>0.06</v>
      </c>
      <c r="AM12" s="648">
        <f>+AM11-AL12</f>
        <v>0.09</v>
      </c>
      <c r="AN12" s="822"/>
      <c r="AO12" s="827"/>
      <c r="AP12" s="209">
        <v>2</v>
      </c>
      <c r="AQ12" s="614"/>
      <c r="AR12" s="198" t="s">
        <v>274</v>
      </c>
      <c r="AS12" s="177">
        <v>45972</v>
      </c>
      <c r="AT12" s="177">
        <v>46022</v>
      </c>
      <c r="AU12" s="614" t="s">
        <v>293</v>
      </c>
      <c r="AV12" s="638"/>
      <c r="AW12" s="638"/>
      <c r="AX12" s="638"/>
      <c r="AY12" s="638"/>
      <c r="AZ12" s="638"/>
      <c r="BA12" s="638"/>
      <c r="BB12" s="638"/>
      <c r="BC12" s="638"/>
      <c r="BD12" s="638"/>
      <c r="BE12" s="638"/>
      <c r="BF12" s="638"/>
      <c r="BG12" s="638"/>
    </row>
    <row r="13" spans="1:59" ht="118.9" customHeight="1" thickBot="1">
      <c r="A13" s="174" t="s">
        <v>231</v>
      </c>
      <c r="B13" s="175" t="s">
        <v>112</v>
      </c>
      <c r="C13" s="175" t="s">
        <v>92</v>
      </c>
      <c r="D13" s="175" t="s">
        <v>79</v>
      </c>
      <c r="E13" s="175" t="s">
        <v>36</v>
      </c>
      <c r="F13" s="566" t="s">
        <v>519</v>
      </c>
      <c r="G13" s="175" t="s">
        <v>520</v>
      </c>
      <c r="H13" s="175" t="s">
        <v>521</v>
      </c>
      <c r="I13" s="175" t="s">
        <v>522</v>
      </c>
      <c r="J13" s="175" t="s">
        <v>66</v>
      </c>
      <c r="K13" s="175">
        <v>1</v>
      </c>
      <c r="L13" s="173">
        <f t="shared" si="3"/>
        <v>8.3333333333333329E-2</v>
      </c>
      <c r="M13" s="175" t="s">
        <v>30</v>
      </c>
      <c r="N13" s="173">
        <f t="shared" si="4"/>
        <v>0.2</v>
      </c>
      <c r="O13" s="175" t="s">
        <v>64</v>
      </c>
      <c r="P13" s="173">
        <f t="shared" si="5"/>
        <v>0.6</v>
      </c>
      <c r="Q13" s="175" t="s">
        <v>73</v>
      </c>
      <c r="R13" s="173">
        <f t="shared" si="6"/>
        <v>0</v>
      </c>
      <c r="S13" s="174" t="s">
        <v>60</v>
      </c>
      <c r="T13" s="658" t="s">
        <v>45</v>
      </c>
      <c r="U13" s="712">
        <f t="shared" si="7"/>
        <v>0.6</v>
      </c>
      <c r="V13" s="420" t="str">
        <f t="shared" si="8"/>
        <v>Muy baja</v>
      </c>
      <c r="W13" s="712">
        <f>+IFERROR(VLOOKUP(V13,formulas!$F$1:$G$6,2,FALSE),"")</f>
        <v>0.2</v>
      </c>
      <c r="X13" s="619" t="str">
        <f t="shared" si="9"/>
        <v>Moderado</v>
      </c>
      <c r="Y13" s="712">
        <f>+IFERROR(VLOOKUP(X13,formulas!$H$1:$I$6,2,FALSE),"")</f>
        <v>0.6</v>
      </c>
      <c r="Z13" s="619" t="str">
        <f>+IFERROR(VLOOKUP(V13&amp;X13,formulas!$C$2:$D$26,2,FALSE),"")</f>
        <v>Moderado</v>
      </c>
      <c r="AA13" s="712">
        <f t="shared" si="10"/>
        <v>0.5</v>
      </c>
      <c r="AB13" s="689" t="s">
        <v>523</v>
      </c>
      <c r="AC13" s="720" t="s">
        <v>693</v>
      </c>
      <c r="AD13" s="716" t="s">
        <v>57</v>
      </c>
      <c r="AE13" s="712">
        <f t="shared" si="0"/>
        <v>0.25</v>
      </c>
      <c r="AF13" s="689" t="s">
        <v>229</v>
      </c>
      <c r="AG13" s="712">
        <f t="shared" si="2"/>
        <v>0.15</v>
      </c>
      <c r="AH13" s="712">
        <f t="shared" si="1"/>
        <v>0.4</v>
      </c>
      <c r="AI13" s="635"/>
      <c r="AJ13" s="716" t="s">
        <v>24</v>
      </c>
      <c r="AK13" s="716" t="s">
        <v>639</v>
      </c>
      <c r="AL13" s="635">
        <f t="shared" si="11"/>
        <v>0.2</v>
      </c>
      <c r="AM13" s="635">
        <f t="shared" si="12"/>
        <v>0.3</v>
      </c>
      <c r="AN13" s="619" t="str">
        <f>+IF(C13="Corrupción","Moderado",IF(AM13&lt;=25%,"Bajo",IF(AM13&lt;=50%,"Moderado",IF(AM13&lt;=75%,"Alto",IF(AM13&gt;75%,"Extremo","")))))</f>
        <v>Moderado</v>
      </c>
      <c r="AO13" s="744" t="s">
        <v>59</v>
      </c>
      <c r="AP13" s="206">
        <v>1</v>
      </c>
      <c r="AQ13" s="175" t="s">
        <v>525</v>
      </c>
      <c r="AR13" s="199" t="s">
        <v>164</v>
      </c>
      <c r="AS13" s="200">
        <v>45658</v>
      </c>
      <c r="AT13" s="200">
        <v>46022</v>
      </c>
      <c r="AU13" s="200" t="s">
        <v>526</v>
      </c>
      <c r="AV13" s="210"/>
      <c r="AW13" s="210"/>
      <c r="AX13" s="210"/>
      <c r="AY13" s="210"/>
      <c r="AZ13" s="210"/>
      <c r="BA13" s="210"/>
      <c r="BB13" s="210"/>
      <c r="BC13" s="210"/>
      <c r="BD13" s="210"/>
      <c r="BE13" s="210"/>
      <c r="BF13" s="210"/>
      <c r="BG13" s="210"/>
    </row>
    <row r="14" spans="1:59" ht="118.9" customHeight="1" thickBot="1">
      <c r="A14" s="174" t="s">
        <v>51</v>
      </c>
      <c r="B14" s="175" t="s">
        <v>541</v>
      </c>
      <c r="C14" s="175" t="s">
        <v>58</v>
      </c>
      <c r="D14" s="175" t="s">
        <v>79</v>
      </c>
      <c r="E14" s="175" t="s">
        <v>80</v>
      </c>
      <c r="F14" s="566" t="s">
        <v>542</v>
      </c>
      <c r="G14" s="212" t="s">
        <v>457</v>
      </c>
      <c r="H14" s="175" t="s">
        <v>543</v>
      </c>
      <c r="I14" s="175" t="s">
        <v>544</v>
      </c>
      <c r="J14" s="213" t="s">
        <v>95</v>
      </c>
      <c r="K14" s="211">
        <v>1</v>
      </c>
      <c r="L14" s="173">
        <f t="shared" si="3"/>
        <v>0.5</v>
      </c>
      <c r="M14" s="211" t="s">
        <v>47</v>
      </c>
      <c r="N14" s="173">
        <f t="shared" si="4"/>
        <v>0.4</v>
      </c>
      <c r="O14" s="214" t="s">
        <v>76</v>
      </c>
      <c r="P14" s="173">
        <f t="shared" si="5"/>
        <v>0.8</v>
      </c>
      <c r="Q14" s="211" t="s">
        <v>73</v>
      </c>
      <c r="R14" s="173">
        <f t="shared" si="6"/>
        <v>0</v>
      </c>
      <c r="S14" s="215" t="s">
        <v>60</v>
      </c>
      <c r="T14" s="426" t="s">
        <v>73</v>
      </c>
      <c r="U14" s="712">
        <f t="shared" si="7"/>
        <v>0.8</v>
      </c>
      <c r="V14" s="420" t="str">
        <f t="shared" si="8"/>
        <v>Media</v>
      </c>
      <c r="W14" s="712">
        <f>+IFERROR(VLOOKUP(V14,formulas!$F$1:$G$6,2,FALSE),"")</f>
        <v>0.6</v>
      </c>
      <c r="X14" s="619" t="str">
        <f t="shared" si="9"/>
        <v>Mayor</v>
      </c>
      <c r="Y14" s="712">
        <f>+IFERROR(VLOOKUP(X14,formulas!$H$1:$I$6,2,FALSE),"")</f>
        <v>0.8</v>
      </c>
      <c r="Z14" s="619" t="str">
        <f>+IFERROR(VLOOKUP(V14&amp;X14,formulas!$C$2:$D$26,2,FALSE),"")</f>
        <v>Alto</v>
      </c>
      <c r="AA14" s="712">
        <f t="shared" si="10"/>
        <v>0.75</v>
      </c>
      <c r="AB14" s="635"/>
      <c r="AC14" s="720" t="s">
        <v>545</v>
      </c>
      <c r="AD14" s="727" t="s">
        <v>57</v>
      </c>
      <c r="AE14" s="712">
        <f t="shared" si="0"/>
        <v>0.25</v>
      </c>
      <c r="AF14" s="727" t="s">
        <v>229</v>
      </c>
      <c r="AG14" s="712">
        <f t="shared" si="2"/>
        <v>0.15</v>
      </c>
      <c r="AH14" s="712">
        <f t="shared" si="1"/>
        <v>0.4</v>
      </c>
      <c r="AI14" s="727" t="s">
        <v>230</v>
      </c>
      <c r="AJ14" s="727" t="s">
        <v>24</v>
      </c>
      <c r="AK14" s="727" t="s">
        <v>546</v>
      </c>
      <c r="AL14" s="635">
        <f t="shared" si="11"/>
        <v>0.30000000000000004</v>
      </c>
      <c r="AM14" s="635">
        <f t="shared" si="12"/>
        <v>0.44999999999999996</v>
      </c>
      <c r="AN14" s="619" t="str">
        <f>+IF(C14="Corrupción","Moderado",IF(AM14&lt;=25%,"Bajo",IF(AM14&lt;=50%,"Moderado",IF(AM14&lt;=75%,"Alto",IF(AM14&gt;75%,"Extremo","")))))</f>
        <v>Moderado</v>
      </c>
      <c r="AO14" s="658" t="s">
        <v>59</v>
      </c>
      <c r="AP14" s="212">
        <v>1</v>
      </c>
      <c r="AQ14" s="393"/>
      <c r="AR14" s="506"/>
      <c r="AS14" s="506"/>
      <c r="AT14" s="393"/>
      <c r="AU14" s="507"/>
      <c r="AV14" s="210"/>
      <c r="AW14" s="210"/>
      <c r="AX14" s="210"/>
      <c r="AY14" s="210"/>
      <c r="AZ14" s="210"/>
      <c r="BA14" s="210"/>
      <c r="BB14" s="210"/>
      <c r="BC14" s="210"/>
      <c r="BD14" s="210"/>
      <c r="BE14" s="210"/>
      <c r="BF14" s="210"/>
      <c r="BG14" s="210"/>
    </row>
    <row r="15" spans="1:59" ht="118.9" customHeight="1" thickBot="1">
      <c r="A15" s="174" t="s">
        <v>231</v>
      </c>
      <c r="B15" s="175" t="s">
        <v>29</v>
      </c>
      <c r="C15" s="175" t="s">
        <v>92</v>
      </c>
      <c r="D15" s="175" t="s">
        <v>79</v>
      </c>
      <c r="E15" s="175" t="s">
        <v>36</v>
      </c>
      <c r="F15" s="566" t="s">
        <v>547</v>
      </c>
      <c r="G15" s="175" t="s">
        <v>548</v>
      </c>
      <c r="H15" s="742" t="s">
        <v>549</v>
      </c>
      <c r="I15" s="175" t="s">
        <v>550</v>
      </c>
      <c r="J15" s="175" t="s">
        <v>66</v>
      </c>
      <c r="K15" s="175">
        <v>1</v>
      </c>
      <c r="L15" s="173">
        <f t="shared" si="3"/>
        <v>8.3333333333333329E-2</v>
      </c>
      <c r="M15" s="175" t="s">
        <v>73</v>
      </c>
      <c r="N15" s="173">
        <f t="shared" si="4"/>
        <v>0</v>
      </c>
      <c r="O15" s="175" t="s">
        <v>31</v>
      </c>
      <c r="P15" s="173">
        <f t="shared" si="5"/>
        <v>0.2</v>
      </c>
      <c r="Q15" s="175" t="s">
        <v>73</v>
      </c>
      <c r="R15" s="173">
        <f t="shared" si="6"/>
        <v>0</v>
      </c>
      <c r="S15" s="174" t="s">
        <v>60</v>
      </c>
      <c r="T15" s="658" t="s">
        <v>45</v>
      </c>
      <c r="U15" s="712">
        <f t="shared" si="7"/>
        <v>0.2</v>
      </c>
      <c r="V15" s="420" t="str">
        <f t="shared" si="8"/>
        <v>Muy baja</v>
      </c>
      <c r="W15" s="712">
        <f>+IFERROR(VLOOKUP(V15,formulas!$F$1:$G$6,2,FALSE),"")</f>
        <v>0.2</v>
      </c>
      <c r="X15" s="619" t="str">
        <f t="shared" si="9"/>
        <v>Leve</v>
      </c>
      <c r="Y15" s="712">
        <f>+IFERROR(VLOOKUP(X15,formulas!$H$1:$I$6,2,FALSE),"")</f>
        <v>0.2</v>
      </c>
      <c r="Z15" s="619" t="str">
        <f>+IFERROR(VLOOKUP(V15&amp;X15,formulas!$C$2:$D$26,2,FALSE),"")</f>
        <v>Bajo</v>
      </c>
      <c r="AA15" s="712">
        <f t="shared" si="10"/>
        <v>0.25</v>
      </c>
      <c r="AB15" s="689" t="s">
        <v>551</v>
      </c>
      <c r="AC15" s="745" t="s">
        <v>552</v>
      </c>
      <c r="AD15" s="716" t="s">
        <v>57</v>
      </c>
      <c r="AE15" s="712">
        <f t="shared" si="0"/>
        <v>0.25</v>
      </c>
      <c r="AF15" s="716" t="s">
        <v>553</v>
      </c>
      <c r="AG15" s="712">
        <f t="shared" si="2"/>
        <v>0.25</v>
      </c>
      <c r="AH15" s="712">
        <f t="shared" si="1"/>
        <v>0.5</v>
      </c>
      <c r="AI15" s="727" t="s">
        <v>230</v>
      </c>
      <c r="AJ15" s="716" t="s">
        <v>24</v>
      </c>
      <c r="AK15" s="716" t="s">
        <v>554</v>
      </c>
      <c r="AL15" s="635">
        <f t="shared" si="11"/>
        <v>0.125</v>
      </c>
      <c r="AM15" s="635">
        <f t="shared" si="12"/>
        <v>0.125</v>
      </c>
      <c r="AN15" s="619" t="str">
        <f>+IF(C15="Corrupción","Moderado",IF(AM15&lt;=25%,"Bajo",IF(AM15&lt;=50%,"Moderado",IF(AM15&lt;=75%,"Alto",IF(AM15&gt;75%,"Extremo","")))))</f>
        <v>Bajo</v>
      </c>
      <c r="AO15" s="174" t="s">
        <v>59</v>
      </c>
      <c r="AP15" s="211">
        <v>1</v>
      </c>
      <c r="AQ15" s="175"/>
      <c r="AR15" s="200"/>
      <c r="AS15" s="200"/>
      <c r="AT15" s="175"/>
      <c r="AU15" s="507"/>
      <c r="AV15" s="210"/>
      <c r="AW15" s="210"/>
      <c r="AX15" s="210"/>
      <c r="AY15" s="210"/>
      <c r="AZ15" s="210"/>
      <c r="BA15" s="210"/>
      <c r="BB15" s="210"/>
      <c r="BC15" s="210"/>
      <c r="BD15" s="210"/>
      <c r="BE15" s="210"/>
      <c r="BF15" s="210"/>
      <c r="BG15" s="210"/>
    </row>
  </sheetData>
  <mergeCells count="110">
    <mergeCell ref="AS2:AS3"/>
    <mergeCell ref="AT2:AT3"/>
    <mergeCell ref="E9:E10"/>
    <mergeCell ref="V9:V10"/>
    <mergeCell ref="AV2:AZ2"/>
    <mergeCell ref="U1:AB2"/>
    <mergeCell ref="AC1:AK1"/>
    <mergeCell ref="AM1:AO1"/>
    <mergeCell ref="AP1:AU1"/>
    <mergeCell ref="W9:W10"/>
    <mergeCell ref="X9:X10"/>
    <mergeCell ref="Y9:Y10"/>
    <mergeCell ref="Z9:Z10"/>
    <mergeCell ref="AA9:AA10"/>
    <mergeCell ref="U9:U10"/>
    <mergeCell ref="AV1:BE1"/>
    <mergeCell ref="AC2:AC3"/>
    <mergeCell ref="AD2:AG2"/>
    <mergeCell ref="AH2:AH3"/>
    <mergeCell ref="AI2:AK2"/>
    <mergeCell ref="BA2:BE2"/>
    <mergeCell ref="AJ3:AK3"/>
    <mergeCell ref="AL2:AN3"/>
    <mergeCell ref="AO2:AO3"/>
    <mergeCell ref="AP2:AQ3"/>
    <mergeCell ref="AR2:AR3"/>
    <mergeCell ref="A9:A10"/>
    <mergeCell ref="B9:B10"/>
    <mergeCell ref="AU2:AU3"/>
    <mergeCell ref="H9:H10"/>
    <mergeCell ref="I9:I10"/>
    <mergeCell ref="K4:K7"/>
    <mergeCell ref="P4:P7"/>
    <mergeCell ref="Q4:Q7"/>
    <mergeCell ref="M9:M10"/>
    <mergeCell ref="R9:R10"/>
    <mergeCell ref="N4:N7"/>
    <mergeCell ref="O4:O7"/>
    <mergeCell ref="O9:O10"/>
    <mergeCell ref="M4:M7"/>
    <mergeCell ref="U4:U7"/>
    <mergeCell ref="AB4:AB7"/>
    <mergeCell ref="AB9:AB10"/>
    <mergeCell ref="AO4:AO7"/>
    <mergeCell ref="S9:S10"/>
    <mergeCell ref="T9:T10"/>
    <mergeCell ref="G3:H3"/>
    <mergeCell ref="A1:T2"/>
    <mergeCell ref="C9:C10"/>
    <mergeCell ref="D9:D10"/>
    <mergeCell ref="F4:F7"/>
    <mergeCell ref="F9:F10"/>
    <mergeCell ref="G9:G10"/>
    <mergeCell ref="G4:G7"/>
    <mergeCell ref="H4:H7"/>
    <mergeCell ref="I4:I7"/>
    <mergeCell ref="J4:J7"/>
    <mergeCell ref="G11:G12"/>
    <mergeCell ref="H11:H12"/>
    <mergeCell ref="A11:A12"/>
    <mergeCell ref="B11:B12"/>
    <mergeCell ref="C11:C12"/>
    <mergeCell ref="D11:D12"/>
    <mergeCell ref="E11:E12"/>
    <mergeCell ref="F11:F12"/>
    <mergeCell ref="S4:S7"/>
    <mergeCell ref="P11:P12"/>
    <mergeCell ref="P9:P10"/>
    <mergeCell ref="Q11:Q12"/>
    <mergeCell ref="Q9:Q10"/>
    <mergeCell ref="K11:K12"/>
    <mergeCell ref="L4:L7"/>
    <mergeCell ref="L9:L10"/>
    <mergeCell ref="L11:L12"/>
    <mergeCell ref="J9:J10"/>
    <mergeCell ref="K9:K10"/>
    <mergeCell ref="I11:I12"/>
    <mergeCell ref="J11:J12"/>
    <mergeCell ref="A4:A7"/>
    <mergeCell ref="B4:B7"/>
    <mergeCell ref="C4:C7"/>
    <mergeCell ref="D4:D7"/>
    <mergeCell ref="E4:E7"/>
    <mergeCell ref="AO9:AO10"/>
    <mergeCell ref="W4:W7"/>
    <mergeCell ref="X4:X7"/>
    <mergeCell ref="AO11:AO12"/>
    <mergeCell ref="AN4:AN7"/>
    <mergeCell ref="AN9:AN10"/>
    <mergeCell ref="AN11:AN12"/>
    <mergeCell ref="Y4:Y7"/>
    <mergeCell ref="Z4:Z7"/>
    <mergeCell ref="AA4:AA7"/>
    <mergeCell ref="W11:W12"/>
    <mergeCell ref="X11:X12"/>
    <mergeCell ref="Y11:Y12"/>
    <mergeCell ref="Z11:Z12"/>
    <mergeCell ref="AA11:AA12"/>
    <mergeCell ref="V11:V12"/>
    <mergeCell ref="R11:R12"/>
    <mergeCell ref="R4:R7"/>
    <mergeCell ref="V4:V7"/>
    <mergeCell ref="M11:M12"/>
    <mergeCell ref="N9:N10"/>
    <mergeCell ref="O11:O12"/>
    <mergeCell ref="T4:T7"/>
    <mergeCell ref="N11:N12"/>
    <mergeCell ref="S11:S12"/>
    <mergeCell ref="T11:T12"/>
    <mergeCell ref="U11:U12"/>
  </mergeCells>
  <conditionalFormatting sqref="V4 V8:V9 V11 V13:V15">
    <cfRule type="expression" dxfId="337" priority="69" stopIfTrue="1">
      <formula>NOT(ISERROR(SEARCH("Muy alta",V4)))</formula>
    </cfRule>
    <cfRule type="expression" dxfId="336" priority="70" stopIfTrue="1">
      <formula>NOT(ISERROR(SEARCH("Alta",V4)))</formula>
    </cfRule>
    <cfRule type="expression" dxfId="335" priority="71" stopIfTrue="1">
      <formula>NOT(ISERROR(SEARCH("Media",V4)))</formula>
    </cfRule>
  </conditionalFormatting>
  <conditionalFormatting sqref="X4 X8:X9 X11 X13:X15">
    <cfRule type="containsText" dxfId="334" priority="18" operator="containsText" text="Catastrófico">
      <formula>NOT(ISERROR(SEARCH("Catastrófico",X4)))</formula>
    </cfRule>
    <cfRule type="containsText" dxfId="333" priority="19" operator="containsText" text="Mayor">
      <formula>NOT(ISERROR(SEARCH("Mayor",X4)))</formula>
    </cfRule>
    <cfRule type="containsText" dxfId="332" priority="20" operator="containsText" text="Moderado">
      <formula>NOT(ISERROR(SEARCH("Moderado",X4)))</formula>
    </cfRule>
    <cfRule type="containsText" dxfId="331" priority="21" operator="containsText" text="Menor">
      <formula>NOT(ISERROR(SEARCH("Menor",X4)))</formula>
    </cfRule>
    <cfRule type="containsText" dxfId="330" priority="22" operator="containsText" text="Leve">
      <formula>NOT(ISERROR(SEARCH("Leve",X4)))</formula>
    </cfRule>
  </conditionalFormatting>
  <conditionalFormatting sqref="Z4 Z8:Z9 Z11 Z13:Z15">
    <cfRule type="containsText" dxfId="329" priority="14" operator="containsText" text="Alto">
      <formula>NOT(ISERROR(SEARCH("Alto",Z4)))</formula>
    </cfRule>
    <cfRule type="containsText" dxfId="328" priority="15" operator="containsText" text="Moderado">
      <formula>NOT(ISERROR(SEARCH("Moderado",Z4)))</formula>
    </cfRule>
    <cfRule type="containsText" dxfId="327" priority="16" operator="containsText" text="Extremo">
      <formula>NOT(ISERROR(SEARCH("Extremo",Z4)))</formula>
    </cfRule>
    <cfRule type="containsText" dxfId="326" priority="17" operator="containsText" text="Bajo">
      <formula>NOT(ISERROR(SEARCH("Bajo",Z4)))</formula>
    </cfRule>
  </conditionalFormatting>
  <conditionalFormatting sqref="AC7">
    <cfRule type="containsText" dxfId="325" priority="66" operator="containsText" text="BAJA">
      <formula>NOT(ISERROR(SEARCH("BAJA",AC7)))</formula>
    </cfRule>
    <cfRule type="containsText" dxfId="324" priority="67" operator="containsText" text="MEDIA">
      <formula>NOT(ISERROR(SEARCH("MEDIA",AC7)))</formula>
    </cfRule>
    <cfRule type="containsText" dxfId="323" priority="68" operator="containsText" text="ALTA">
      <formula>NOT(ISERROR(SEARCH("ALTA",AC7)))</formula>
    </cfRule>
  </conditionalFormatting>
  <conditionalFormatting sqref="AC11:AC12">
    <cfRule type="containsText" dxfId="322" priority="60" operator="containsText" text="BAJA">
      <formula>NOT(ISERROR(SEARCH("BAJA",AC11)))</formula>
    </cfRule>
    <cfRule type="containsText" dxfId="321" priority="61" operator="containsText" text="MEDIA">
      <formula>NOT(ISERROR(SEARCH("MEDIA",AC11)))</formula>
    </cfRule>
    <cfRule type="containsText" dxfId="320" priority="62" operator="containsText" text="ALTA">
      <formula>NOT(ISERROR(SEARCH("ALTA",AC11)))</formula>
    </cfRule>
  </conditionalFormatting>
  <conditionalFormatting sqref="AI4:AI12">
    <cfRule type="containsText" dxfId="319" priority="57" operator="containsText" text="BAJA">
      <formula>NOT(ISERROR(SEARCH("BAJA",AI4)))</formula>
    </cfRule>
    <cfRule type="containsText" dxfId="318" priority="58" operator="containsText" text="MEDIA">
      <formula>NOT(ISERROR(SEARCH("MEDIA",AI4)))</formula>
    </cfRule>
    <cfRule type="containsText" dxfId="317" priority="59" operator="containsText" text="ALTA">
      <formula>NOT(ISERROR(SEARCH("ALTA",AI4)))</formula>
    </cfRule>
  </conditionalFormatting>
  <conditionalFormatting sqref="AI14:AI15">
    <cfRule type="containsText" dxfId="316" priority="54" operator="containsText" text="BAJA">
      <formula>NOT(ISERROR(SEARCH("BAJA",AI14)))</formula>
    </cfRule>
    <cfRule type="containsText" dxfId="315" priority="55" operator="containsText" text="MEDIA">
      <formula>NOT(ISERROR(SEARCH("MEDIA",AI14)))</formula>
    </cfRule>
    <cfRule type="containsText" dxfId="314" priority="56" operator="containsText" text="ALTA">
      <formula>NOT(ISERROR(SEARCH("ALTA",AI14)))</formula>
    </cfRule>
  </conditionalFormatting>
  <conditionalFormatting sqref="AJ11:AJ12">
    <cfRule type="containsText" dxfId="313" priority="42" operator="containsText" text="BAJA">
      <formula>NOT(ISERROR(SEARCH("BAJA",AJ11)))</formula>
    </cfRule>
    <cfRule type="containsText" dxfId="312" priority="43" operator="containsText" text="MEDIA">
      <formula>NOT(ISERROR(SEARCH("MEDIA",AJ11)))</formula>
    </cfRule>
    <cfRule type="containsText" dxfId="311" priority="44" operator="containsText" text="ALTA">
      <formula>NOT(ISERROR(SEARCH("ALTA",AJ11)))</formula>
    </cfRule>
  </conditionalFormatting>
  <conditionalFormatting sqref="AJ13:AK13">
    <cfRule type="containsText" dxfId="310" priority="39" operator="containsText" text="BAJA">
      <formula>NOT(ISERROR(SEARCH("BAJA",AJ13)))</formula>
    </cfRule>
    <cfRule type="containsText" dxfId="309" priority="40" operator="containsText" text="MEDIA">
      <formula>NOT(ISERROR(SEARCH("MEDIA",AJ13)))</formula>
    </cfRule>
    <cfRule type="containsText" dxfId="308" priority="41" operator="containsText" text="ALTA">
      <formula>NOT(ISERROR(SEARCH("ALTA",AJ13)))</formula>
    </cfRule>
  </conditionalFormatting>
  <conditionalFormatting sqref="AK7:AK8">
    <cfRule type="containsText" dxfId="307" priority="36" operator="containsText" text="BAJA">
      <formula>NOT(ISERROR(SEARCH("BAJA",AK7)))</formula>
    </cfRule>
    <cfRule type="containsText" dxfId="306" priority="37" operator="containsText" text="MEDIA">
      <formula>NOT(ISERROR(SEARCH("MEDIA",AK7)))</formula>
    </cfRule>
    <cfRule type="containsText" dxfId="305" priority="38" operator="containsText" text="ALTA">
      <formula>NOT(ISERROR(SEARCH("ALTA",AK7)))</formula>
    </cfRule>
  </conditionalFormatting>
  <conditionalFormatting sqref="AK15">
    <cfRule type="containsText" dxfId="304" priority="33" operator="containsText" text="BAJA">
      <formula>NOT(ISERROR(SEARCH("BAJA",AK15)))</formula>
    </cfRule>
    <cfRule type="containsText" dxfId="303" priority="34" operator="containsText" text="MEDIA">
      <formula>NOT(ISERROR(SEARCH("MEDIA",AK15)))</formula>
    </cfRule>
    <cfRule type="containsText" dxfId="302" priority="35" operator="containsText" text="ALTA">
      <formula>NOT(ISERROR(SEARCH("ALTA",AK15)))</formula>
    </cfRule>
  </conditionalFormatting>
  <conditionalFormatting sqref="AO8:AP8">
    <cfRule type="containsText" dxfId="301" priority="28" operator="containsText" text="ALTA">
      <formula>NOT(ISERROR(SEARCH("ALTA",AO8)))</formula>
    </cfRule>
  </conditionalFormatting>
  <conditionalFormatting sqref="AR13">
    <cfRule type="containsText" dxfId="300" priority="29" operator="containsText" text="BAJA">
      <formula>NOT(ISERROR(SEARCH("BAJA",AR13)))</formula>
    </cfRule>
    <cfRule type="containsText" dxfId="299" priority="30" operator="containsText" text="MEDIA">
      <formula>NOT(ISERROR(SEARCH("MEDIA",AR13)))</formula>
    </cfRule>
    <cfRule type="containsText" dxfId="298" priority="31" operator="containsText" text="ALTA">
      <formula>NOT(ISERROR(SEARCH("ALTA",AR13)))</formula>
    </cfRule>
  </conditionalFormatting>
  <conditionalFormatting sqref="AC10">
    <cfRule type="containsText" dxfId="297" priority="1" operator="containsText" text="BAJA">
      <formula>NOT(ISERROR(SEARCH("BAJA",AC10)))</formula>
    </cfRule>
    <cfRule type="containsText" dxfId="296" priority="2" operator="containsText" text="MEDIA">
      <formula>NOT(ISERROR(SEARCH("MEDIA",AC10)))</formula>
    </cfRule>
    <cfRule type="containsText" dxfId="295" priority="3" operator="containsText" text="ALTA">
      <formula>NOT(ISERROR(SEARCH("ALTA",AC10)))</formula>
    </cfRule>
  </conditionalFormatting>
  <dataValidations count="3">
    <dataValidation type="list" allowBlank="1" showInputMessage="1" showErrorMessage="1" sqref="AF4:AF15">
      <formula1>"Manual,Automático"</formula1>
    </dataValidation>
    <dataValidation type="list" allowBlank="1" showInputMessage="1" showErrorMessage="1" sqref="AI4:AI15">
      <formula1>"Confiable,No confiable"</formula1>
    </dataValidation>
    <dataValidation type="list" allowBlank="1" showInputMessage="1" showErrorMessage="1" sqref="A4:A15">
      <formula1>"SI,NO"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
  <sheetViews>
    <sheetView topLeftCell="A3" zoomScale="59" zoomScaleNormal="59" workbookViewId="0">
      <selection activeCell="G3" sqref="G3:H3"/>
    </sheetView>
  </sheetViews>
  <sheetFormatPr baseColWidth="10" defaultColWidth="17.28515625" defaultRowHeight="135.6" customHeight="1"/>
  <cols>
    <col min="1" max="1" width="14.140625" style="81" customWidth="1"/>
    <col min="2" max="2" width="14" style="63" customWidth="1"/>
    <col min="3" max="3" width="17.28515625" style="63" customWidth="1"/>
    <col min="4" max="4" width="19.42578125" style="63" customWidth="1"/>
    <col min="5" max="5" width="19.5703125" style="63" customWidth="1"/>
    <col min="6" max="6" width="69.28515625" style="53" customWidth="1"/>
    <col min="7" max="7" width="9.7109375" style="53" customWidth="1"/>
    <col min="8" max="8" width="42.28515625" style="53" customWidth="1"/>
    <col min="9" max="9" width="44.28515625" style="53" customWidth="1"/>
    <col min="10" max="10" width="14.7109375" style="53" bestFit="1" customWidth="1"/>
    <col min="11" max="11" width="16.7109375" style="53" customWidth="1"/>
    <col min="12" max="12" width="19.28515625" style="53" customWidth="1"/>
    <col min="13" max="13" width="46.140625" style="53" customWidth="1"/>
    <col min="14" max="14" width="19.28515625" style="53" customWidth="1"/>
    <col min="15" max="15" width="45.28515625" style="53" customWidth="1"/>
    <col min="16" max="16" width="17.7109375" style="53" customWidth="1"/>
    <col min="17" max="17" width="32.42578125" style="53" customWidth="1"/>
    <col min="18" max="18" width="17.140625" style="53" customWidth="1"/>
    <col min="19" max="21" width="21.85546875" style="53" customWidth="1"/>
    <col min="22" max="22" width="15" style="53" customWidth="1"/>
    <col min="23" max="23" width="12.28515625" style="64" customWidth="1"/>
    <col min="24" max="24" width="13.7109375" style="53" customWidth="1"/>
    <col min="25" max="25" width="14.7109375" style="64" customWidth="1"/>
    <col min="26" max="26" width="16.85546875" style="53" bestFit="1" customWidth="1"/>
    <col min="27" max="27" width="7.85546875" style="53" customWidth="1"/>
    <col min="28" max="28" width="28.140625" style="53" customWidth="1"/>
    <col min="29" max="29" width="54.140625" style="53" customWidth="1"/>
    <col min="30" max="30" width="10" style="53" bestFit="1" customWidth="1"/>
    <col min="31" max="31" width="8.42578125" style="64" customWidth="1"/>
    <col min="32" max="32" width="20.28515625" style="64" customWidth="1"/>
    <col min="33" max="33" width="9" style="64" customWidth="1"/>
    <col min="34" max="34" width="14.140625" style="64" customWidth="1"/>
    <col min="35" max="35" width="16.42578125" style="53" customWidth="1"/>
    <col min="36" max="36" width="14.7109375" style="63" customWidth="1"/>
    <col min="37" max="37" width="36.5703125" style="53" customWidth="1"/>
    <col min="38" max="38" width="13.7109375" style="53" customWidth="1"/>
    <col min="39" max="39" width="13.7109375" style="65" customWidth="1"/>
    <col min="40" max="40" width="13.7109375" style="53" customWidth="1"/>
    <col min="41" max="41" width="15.28515625" style="53" customWidth="1"/>
    <col min="42" max="42" width="2.28515625" style="66" customWidth="1"/>
    <col min="43" max="43" width="49.28515625" style="66" customWidth="1"/>
    <col min="44" max="44" width="17" style="63" customWidth="1"/>
    <col min="45" max="46" width="11.5703125" style="82" customWidth="1"/>
    <col min="47" max="47" width="21.85546875" style="53" customWidth="1"/>
    <col min="48" max="57" width="18.140625" style="81" customWidth="1"/>
    <col min="58" max="216" width="11.42578125" style="81" customWidth="1"/>
    <col min="217" max="217" width="21.85546875" style="81" customWidth="1"/>
    <col min="218" max="218" width="13.85546875" style="81" customWidth="1"/>
    <col min="219" max="219" width="38.7109375" style="81" customWidth="1"/>
    <col min="220" max="220" width="3" style="81" bestFit="1" customWidth="1"/>
    <col min="221" max="221" width="32.28515625" style="81" customWidth="1"/>
    <col min="222" max="222" width="46.28515625" style="81" customWidth="1"/>
    <col min="223" max="223" width="19" style="81" customWidth="1"/>
    <col min="224" max="224" width="11.42578125" style="81" customWidth="1"/>
    <col min="225" max="225" width="17.7109375" style="81" customWidth="1"/>
    <col min="226" max="226" width="11.42578125" style="81" customWidth="1"/>
    <col min="227" max="227" width="22.28515625" style="81" customWidth="1"/>
    <col min="228" max="228" width="5.28515625" style="81" customWidth="1"/>
    <col min="229" max="229" width="36.28515625" style="81" customWidth="1"/>
    <col min="230" max="230" width="5.7109375" style="81" customWidth="1"/>
    <col min="231" max="231" width="11.42578125" style="81" customWidth="1"/>
    <col min="232" max="232" width="20.7109375" style="81" customWidth="1"/>
    <col min="233" max="233" width="4.85546875" style="81" customWidth="1"/>
    <col min="234" max="234" width="11.42578125" style="81" customWidth="1"/>
    <col min="235" max="235" width="24.7109375" style="81" customWidth="1"/>
    <col min="236" max="236" width="12.28515625" style="81" customWidth="1"/>
    <col min="237" max="237" width="11.42578125" style="81" customWidth="1"/>
    <col min="238" max="238" width="3.42578125" style="81" customWidth="1"/>
    <col min="239" max="239" width="11.42578125" style="81" customWidth="1"/>
    <col min="240" max="240" width="17.7109375" style="81" customWidth="1"/>
    <col min="241" max="241" width="3.42578125" style="81" customWidth="1"/>
    <col min="242" max="242" width="11.42578125" style="81" customWidth="1"/>
    <col min="243" max="243" width="23.7109375" style="81" customWidth="1"/>
    <col min="244" max="244" width="10" style="81" customWidth="1"/>
    <col min="245" max="245" width="11.42578125" style="81" customWidth="1"/>
    <col min="246" max="247" width="14.7109375" style="81" customWidth="1"/>
    <col min="248" max="248" width="12.85546875" style="81" customWidth="1"/>
    <col min="249" max="249" width="3.28515625" style="81" customWidth="1"/>
    <col min="250" max="250" width="30.28515625" style="81" customWidth="1"/>
    <col min="251" max="251" width="5" style="81" customWidth="1"/>
    <col min="252" max="252" width="11.42578125" style="81" customWidth="1"/>
    <col min="253" max="253" width="14.28515625" style="81" customWidth="1"/>
    <col min="254" max="254" width="5.7109375" style="81" customWidth="1"/>
    <col min="255" max="255" width="11.42578125" style="81" customWidth="1"/>
    <col min="256" max="16384" width="17.28515625" style="81"/>
  </cols>
  <sheetData>
    <row r="1" spans="1:59" ht="97.15"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94.9"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s="46" customFormat="1" ht="135.6" customHeight="1">
      <c r="A3" s="611" t="s">
        <v>199</v>
      </c>
      <c r="B3" s="611" t="s">
        <v>144</v>
      </c>
      <c r="C3" s="611" t="s">
        <v>6</v>
      </c>
      <c r="D3" s="611" t="s">
        <v>1</v>
      </c>
      <c r="E3" s="611" t="s">
        <v>2</v>
      </c>
      <c r="F3" s="611"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ht="135.6" customHeight="1">
      <c r="A4" s="831" t="s">
        <v>231</v>
      </c>
      <c r="B4" s="815" t="s">
        <v>29</v>
      </c>
      <c r="C4" s="815" t="s">
        <v>92</v>
      </c>
      <c r="D4" s="815" t="s">
        <v>79</v>
      </c>
      <c r="E4" s="815" t="s">
        <v>36</v>
      </c>
      <c r="F4" s="815" t="s">
        <v>780</v>
      </c>
      <c r="G4" s="815" t="s">
        <v>548</v>
      </c>
      <c r="H4" s="1046" t="s">
        <v>549</v>
      </c>
      <c r="I4" s="815" t="s">
        <v>550</v>
      </c>
      <c r="J4" s="815" t="s">
        <v>66</v>
      </c>
      <c r="K4" s="815">
        <v>1</v>
      </c>
      <c r="L4" s="926">
        <f>IF(J4="Diaria",+(K4/360),IF(J4="Semanal",+(K4/52),IF(J4="Mensual",+(K4/12),IF(J4="Bimestral",+(K4/6),IF(J4="Trimestral",+(K4/4),IF(J4="Semestral",+(K4/2),IF(J4="Anual",+(K4/1),"")))))))</f>
        <v>8.3333333333333329E-2</v>
      </c>
      <c r="M4" s="815" t="s">
        <v>73</v>
      </c>
      <c r="N4" s="926">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v>
      </c>
      <c r="O4" s="815" t="s">
        <v>31</v>
      </c>
      <c r="P4" s="926">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0.2</v>
      </c>
      <c r="Q4" s="815" t="s">
        <v>73</v>
      </c>
      <c r="R4" s="926">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831" t="s">
        <v>60</v>
      </c>
      <c r="T4" s="831" t="s">
        <v>45</v>
      </c>
      <c r="U4" s="926">
        <f>+MAX(N4,P4,R4)</f>
        <v>0.2</v>
      </c>
      <c r="V4" s="912" t="str">
        <f>IF(L4&lt;=20%,"Muy baja",IF(L4&lt;=40%,"Baja",IF(L4&lt;=60%,"Media",IF(L4&lt;=80%,"Alta",IF(L4&lt;=100%,"Muy alta",IF(L4&gt;=100%,"Muy alta",""))))))</f>
        <v>Muy baja</v>
      </c>
      <c r="W4" s="926">
        <f>+IFERROR(VLOOKUP(V4,formulas!$F$1:$G$6,2,FALSE),"")</f>
        <v>0.2</v>
      </c>
      <c r="X4" s="911" t="str">
        <f>IF(U4=20%,"Leve",IF(U4=40%,"Menor",IF(U4=60%,"Moderado",IF(U4=80%,"Mayor",IF(U4=100%,"Catastrófico","")))))</f>
        <v>Leve</v>
      </c>
      <c r="Y4" s="926">
        <f>+IFERROR(VLOOKUP(X4,formulas!$H$1:$I$6,2,FALSE),"")</f>
        <v>0.2</v>
      </c>
      <c r="Z4" s="911" t="str">
        <f>+IFERROR(VLOOKUP(V4&amp;X4,formulas!$C$2:$D$26,2,FALSE),"")</f>
        <v>Bajo</v>
      </c>
      <c r="AA4" s="926">
        <f>IF(Z4="Bajo",25%,IF(Z4="Moderado",50%,IF(Z4="Alto",75%,IF(Z4="Extremo",100%,""))))</f>
        <v>0.25</v>
      </c>
      <c r="AB4" s="818" t="s">
        <v>551</v>
      </c>
      <c r="AC4" s="746" t="s">
        <v>781</v>
      </c>
      <c r="AD4" s="613" t="s">
        <v>57</v>
      </c>
      <c r="AE4" s="656">
        <f>IF(AD4="Preventivo",25%,IF(AD4="Detectivo",15%,IF(AD4="Correctivo",10%,"")))</f>
        <v>0.25</v>
      </c>
      <c r="AF4" s="613" t="s">
        <v>553</v>
      </c>
      <c r="AG4" s="656">
        <f>IF(AF4="Manual",15%,IF(AF4="Automático",25%,""))</f>
        <v>0.25</v>
      </c>
      <c r="AH4" s="656">
        <f>+AG4+AE4</f>
        <v>0.5</v>
      </c>
      <c r="AI4" s="613"/>
      <c r="AJ4" s="613" t="s">
        <v>24</v>
      </c>
      <c r="AK4" s="613" t="s">
        <v>554</v>
      </c>
      <c r="AL4" s="647">
        <f>+AA4*AH4</f>
        <v>0.125</v>
      </c>
      <c r="AM4" s="647">
        <f>+AA4-AL4</f>
        <v>0.125</v>
      </c>
      <c r="AN4" s="911" t="str">
        <f>+IF(C4="Corrupción","Moderado",IF(AM5&lt;=25%,"Bajo",IF(AM5&lt;=50%,"Moderado",IF(AM5&lt;=75%,"Alto",IF(AM5&gt;75%,"Extremo","")))))</f>
        <v>Bajo</v>
      </c>
      <c r="AO4" s="831" t="s">
        <v>59</v>
      </c>
      <c r="AP4" s="201">
        <v>1</v>
      </c>
      <c r="AQ4" s="731" t="s">
        <v>782</v>
      </c>
      <c r="AR4" s="613" t="s">
        <v>783</v>
      </c>
      <c r="AS4" s="176">
        <v>45658</v>
      </c>
      <c r="AT4" s="176">
        <v>46022</v>
      </c>
      <c r="AU4" s="613" t="s">
        <v>784</v>
      </c>
      <c r="AV4" s="613"/>
      <c r="AW4" s="613"/>
      <c r="AX4" s="613"/>
      <c r="AY4" s="613"/>
      <c r="AZ4" s="613"/>
      <c r="BA4" s="613"/>
      <c r="BB4" s="613"/>
      <c r="BC4" s="613"/>
      <c r="BD4" s="613"/>
      <c r="BE4" s="613"/>
      <c r="BF4" s="640"/>
      <c r="BG4" s="640"/>
    </row>
    <row r="5" spans="1:59" ht="135.6" customHeight="1" thickBot="1">
      <c r="A5" s="827"/>
      <c r="B5" s="816"/>
      <c r="C5" s="816"/>
      <c r="D5" s="816"/>
      <c r="E5" s="816"/>
      <c r="F5" s="816"/>
      <c r="G5" s="816"/>
      <c r="H5" s="839"/>
      <c r="I5" s="816"/>
      <c r="J5" s="816"/>
      <c r="K5" s="816"/>
      <c r="L5" s="927"/>
      <c r="M5" s="816"/>
      <c r="N5" s="927"/>
      <c r="O5" s="816"/>
      <c r="P5" s="927"/>
      <c r="Q5" s="816"/>
      <c r="R5" s="927"/>
      <c r="S5" s="827"/>
      <c r="T5" s="827"/>
      <c r="U5" s="927"/>
      <c r="V5" s="1045"/>
      <c r="W5" s="927"/>
      <c r="X5" s="822"/>
      <c r="Y5" s="927"/>
      <c r="Z5" s="822"/>
      <c r="AA5" s="927"/>
      <c r="AB5" s="819"/>
      <c r="AC5" s="747" t="s">
        <v>785</v>
      </c>
      <c r="AD5" s="614" t="s">
        <v>57</v>
      </c>
      <c r="AE5" s="657">
        <f>IF(AD5="Preventivo",25%,IF(AD5="Detectivo",15%,IF(AD5="Correctivo",10%,"")))</f>
        <v>0.25</v>
      </c>
      <c r="AF5" s="614" t="s">
        <v>229</v>
      </c>
      <c r="AG5" s="657">
        <f>IF(AF5="Manual",15%,IF(AF5="Automático",25%,""))</f>
        <v>0.15</v>
      </c>
      <c r="AH5" s="657">
        <f>+AG5+AE5</f>
        <v>0.4</v>
      </c>
      <c r="AI5" s="614"/>
      <c r="AJ5" s="614" t="s">
        <v>41</v>
      </c>
      <c r="AK5" s="614" t="s">
        <v>73</v>
      </c>
      <c r="AL5" s="648">
        <f>+AM4*AH5</f>
        <v>0.05</v>
      </c>
      <c r="AM5" s="648">
        <f>+AM4-AL5</f>
        <v>7.4999999999999997E-2</v>
      </c>
      <c r="AN5" s="822"/>
      <c r="AO5" s="827"/>
      <c r="AP5" s="638">
        <v>2</v>
      </c>
      <c r="AQ5" s="629" t="s">
        <v>786</v>
      </c>
      <c r="AR5" s="614" t="s">
        <v>783</v>
      </c>
      <c r="AS5" s="177">
        <v>45658</v>
      </c>
      <c r="AT5" s="177">
        <v>46022</v>
      </c>
      <c r="AU5" s="614" t="s">
        <v>787</v>
      </c>
      <c r="AV5" s="614"/>
      <c r="AW5" s="614"/>
      <c r="AX5" s="614"/>
      <c r="AY5" s="614"/>
      <c r="AZ5" s="614"/>
      <c r="BA5" s="614"/>
      <c r="BB5" s="614"/>
      <c r="BC5" s="614"/>
      <c r="BD5" s="614"/>
      <c r="BE5" s="614"/>
      <c r="BF5" s="638"/>
      <c r="BG5" s="638"/>
    </row>
    <row r="6" spans="1:59" ht="135.6" customHeight="1" thickBot="1">
      <c r="A6" s="174" t="s">
        <v>231</v>
      </c>
      <c r="B6" s="175" t="s">
        <v>29</v>
      </c>
      <c r="C6" s="175" t="s">
        <v>92</v>
      </c>
      <c r="D6" s="175" t="s">
        <v>79</v>
      </c>
      <c r="E6" s="175" t="s">
        <v>36</v>
      </c>
      <c r="F6" s="175" t="s">
        <v>519</v>
      </c>
      <c r="G6" s="175" t="s">
        <v>520</v>
      </c>
      <c r="H6" s="175" t="s">
        <v>521</v>
      </c>
      <c r="I6" s="175" t="s">
        <v>522</v>
      </c>
      <c r="J6" s="175" t="s">
        <v>66</v>
      </c>
      <c r="K6" s="175">
        <v>1</v>
      </c>
      <c r="L6" s="173">
        <f>IF(J6="Diaria",+(K6/360),IF(J6="Semanal",+(K6/52),IF(J6="Mensual",+(K6/12),IF(J6="Bimestral",+(K6/6),IF(J6="Trimestral",+(K6/4),IF(J6="Semestral",+(K6/2),IF(J6="Anual",+(K6/1),"")))))))</f>
        <v>8.3333333333333329E-2</v>
      </c>
      <c r="M6" s="175" t="s">
        <v>30</v>
      </c>
      <c r="N6" s="173">
        <f>IF(M6="Menor al 1% del patrimonio de la Lotería de Bogotá",20%,IF(M6="Entre el 1% y el 3% del patrimonio de la Lotería de Bogotá",40%,IF(M6="Entre el 3% y el 6% del patrimonio de la Lotería de Bogotá",60%,IF(M6="Entre el 6% y el 10% del patrimonio de la Lotería de Bogotá",80%,IF(M6="Mayor al 10% del patrimonio de la Lotería de Bogotá",100%,IF(M6="NA",0%,""))))))</f>
        <v>0.2</v>
      </c>
      <c r="O6" s="175" t="s">
        <v>64</v>
      </c>
      <c r="P6" s="173">
        <f>IF(O6="El riesgo afecta la imagen de algún área de la organización",20%,IF(O6="El riesgo afecta la imagen de la entidad internamente, de conocimiento general nivel interno, de junta directiva y accionistas y/o de proveedores",40%,IF(O6="El riesgo afecta la imagen de la entidad con algunos usuarios de relevancia frente al logro de los objetivos",60%,IF(O6="El riesgo afecta la imagen de la entidad con efecto publicitario sostenido a nivel de sector administrativo, nivel departamental o municipal",80%,IF(O6="El riesgo afecta la imagen de la entidad a nivel nacional, con efecto publicitario sostenido a nivel país",100%,IF(O6="NA",0%,""))))))</f>
        <v>0.6</v>
      </c>
      <c r="Q6" s="175" t="s">
        <v>73</v>
      </c>
      <c r="R6" s="173">
        <f>IF(Q6="Interrupción de la operación por menos de un día",20%,IF(Q6="Interrupción de la operación por un día completo",40%,IF(Q6="Interrupción de la operación mayor a 1 día y menor a 2 días",60%,IF(Q6="Interrupción de la operación por dos días completos",80%,IF(Q6="Interrupción de la operación por más de dos días",100%,IF(Q6="NA",0%,""))))))</f>
        <v>0</v>
      </c>
      <c r="S6" s="174" t="s">
        <v>60</v>
      </c>
      <c r="T6" s="174" t="s">
        <v>45</v>
      </c>
      <c r="U6" s="173">
        <f>+MAX(N6,P6,R6)</f>
        <v>0.6</v>
      </c>
      <c r="V6" s="419" t="str">
        <f>IF(L6&lt;=20%,"Muy baja",IF(L6&lt;=40%,"Baja",IF(L6&lt;=60%,"Media",IF(L6&lt;=80%,"Alta",IF(L6&lt;=100%,"Muy alta",IF(L6&gt;=100%,"Muy alta",""))))))</f>
        <v>Muy baja</v>
      </c>
      <c r="W6" s="173">
        <f>+IFERROR(VLOOKUP(V6,formulas!$F$1:$G$6,2,FALSE),"")</f>
        <v>0.2</v>
      </c>
      <c r="X6" s="630" t="str">
        <f>IF(U6=20%,"Leve",IF(U6=40%,"Menor",IF(U6=60%,"Moderado",IF(U6=80%,"Mayor",IF(U6=100%,"Catastrófico","")))))</f>
        <v>Moderado</v>
      </c>
      <c r="Y6" s="173">
        <f>+IFERROR(VLOOKUP(X6,formulas!$H$1:$I$6,2,FALSE),"")</f>
        <v>0.6</v>
      </c>
      <c r="Z6" s="630" t="str">
        <f>+IFERROR(VLOOKUP(V6&amp;X6,formulas!$C$2:$D$26,2,FALSE),"")</f>
        <v>Moderado</v>
      </c>
      <c r="AA6" s="173">
        <f>IF(Z6="Bajo",25%,IF(Z6="Moderado",50%,IF(Z6="Alto",75%,IF(Z6="Extremo",100%,""))))</f>
        <v>0.5</v>
      </c>
      <c r="AB6" s="204" t="s">
        <v>523</v>
      </c>
      <c r="AC6" s="210" t="s">
        <v>693</v>
      </c>
      <c r="AD6" s="175" t="s">
        <v>57</v>
      </c>
      <c r="AE6" s="173">
        <f>IF(AD6="Preventivo",25%,IF(AD6="Detectivo",15%,IF(AD6="Correctivo",10%,"")))</f>
        <v>0.25</v>
      </c>
      <c r="AF6" s="175" t="s">
        <v>229</v>
      </c>
      <c r="AG6" s="173">
        <f>IF(AF6="Manual",15%,IF(AF6="Automático",25%,""))</f>
        <v>0.15</v>
      </c>
      <c r="AH6" s="173">
        <f>+AG6+AE6</f>
        <v>0.4</v>
      </c>
      <c r="AI6" s="175"/>
      <c r="AJ6" s="175" t="s">
        <v>24</v>
      </c>
      <c r="AK6" s="175" t="s">
        <v>639</v>
      </c>
      <c r="AL6" s="205">
        <f>+AA6*AH6</f>
        <v>0.2</v>
      </c>
      <c r="AM6" s="205">
        <f>+AA6-AL6</f>
        <v>0.3</v>
      </c>
      <c r="AN6" s="630" t="str">
        <f>+IF(C6="Corrupción","Moderado",IF(AM6&lt;=25%,"Bajo",IF(AM6&lt;=50%,"Moderado",IF(AM6&lt;=75%,"Alto",IF(AM6&gt;75%,"Extremo","")))))</f>
        <v>Moderado</v>
      </c>
      <c r="AO6" s="174" t="s">
        <v>59</v>
      </c>
      <c r="AP6" s="206">
        <v>1</v>
      </c>
      <c r="AQ6" s="175" t="s">
        <v>525</v>
      </c>
      <c r="AR6" s="199" t="s">
        <v>788</v>
      </c>
      <c r="AS6" s="200">
        <v>45658</v>
      </c>
      <c r="AT6" s="200">
        <v>46022</v>
      </c>
      <c r="AU6" s="200" t="s">
        <v>526</v>
      </c>
      <c r="AV6" s="210"/>
      <c r="AW6" s="210"/>
      <c r="AX6" s="210"/>
      <c r="AY6" s="210"/>
      <c r="AZ6" s="210"/>
      <c r="BA6" s="210"/>
      <c r="BB6" s="210"/>
      <c r="BC6" s="210"/>
      <c r="BD6" s="210"/>
      <c r="BE6" s="210"/>
      <c r="BF6" s="210"/>
      <c r="BG6" s="210"/>
    </row>
    <row r="7" spans="1:59" ht="301.5" customHeight="1" thickBot="1">
      <c r="A7" s="174" t="s">
        <v>51</v>
      </c>
      <c r="B7" s="175" t="s">
        <v>541</v>
      </c>
      <c r="C7" s="175" t="s">
        <v>58</v>
      </c>
      <c r="D7" s="175" t="s">
        <v>79</v>
      </c>
      <c r="E7" s="175" t="s">
        <v>80</v>
      </c>
      <c r="F7" s="563" t="s">
        <v>542</v>
      </c>
      <c r="G7" s="212" t="s">
        <v>457</v>
      </c>
      <c r="H7" s="563" t="s">
        <v>543</v>
      </c>
      <c r="I7" s="563" t="s">
        <v>544</v>
      </c>
      <c r="J7" s="213" t="s">
        <v>95</v>
      </c>
      <c r="K7" s="211">
        <v>1</v>
      </c>
      <c r="L7" s="173">
        <f>IF(J7="Diaria",+(K7/360),IF(J7="Semanal",+(K7/52),IF(J7="Mensual",+(K7/12),IF(J7="Bimestral",+(K7/6),IF(J7="Trimestral",+(K7/4),IF(J7="Semestral",+(K7/2),IF(J7="Anual",+(K7/1),"")))))))</f>
        <v>0.5</v>
      </c>
      <c r="M7" s="211" t="s">
        <v>47</v>
      </c>
      <c r="N7" s="173">
        <f>IF(M7="Menor al 1% del patrimonio de la Lotería de Bogotá",20%,IF(M7="Entre el 1% y el 3% del patrimonio de la Lotería de Bogotá",40%,IF(M7="Entre el 3% y el 6% del patrimonio de la Lotería de Bogotá",60%,IF(M7="Entre el 6% y el 10% del patrimonio de la Lotería de Bogotá",80%,IF(M7="Mayor al 10% del patrimonio de la Lotería de Bogotá",100%,IF(M7="NA",0%,""))))))</f>
        <v>0.4</v>
      </c>
      <c r="O7" s="214" t="s">
        <v>76</v>
      </c>
      <c r="P7" s="173">
        <f>IF(O7="El riesgo afecta la imagen de algún área de la organización",20%,IF(O7="El riesgo afecta la imagen de la entidad internamente, de conocimiento general nivel interno, de junta directiva y accionistas y/o de proveedores",40%,IF(O7="El riesgo afecta la imagen de la entidad con algunos usuarios de relevancia frente al logro de los objetivos",60%,IF(O7="El riesgo afecta la imagen de la entidad con efecto publicitario sostenido a nivel de sector administrativo, nivel departamental o municipal",80%,IF(O7="El riesgo afecta la imagen de la entidad a nivel nacional, con efecto publicitario sostenido a nivel país",100%,IF(O7="NA",0%,""))))))</f>
        <v>0.8</v>
      </c>
      <c r="Q7" s="211" t="s">
        <v>73</v>
      </c>
      <c r="R7" s="173">
        <f>IF(Q7="Interrupción de la operación por menos de un día",20%,IF(Q7="Interrupción de la operación por un día completo",40%,IF(Q7="Interrupción de la operación mayor a 1 día y menor a 2 días",60%,IF(Q7="Interrupción de la operación por dos días completos",80%,IF(Q7="Interrupción de la operación por más de dos días",100%,IF(Q7="NA",0%,""))))))</f>
        <v>0</v>
      </c>
      <c r="S7" s="215" t="s">
        <v>60</v>
      </c>
      <c r="T7" s="215" t="s">
        <v>73</v>
      </c>
      <c r="U7" s="173">
        <f>+MAX(N7,P7,R7)</f>
        <v>0.8</v>
      </c>
      <c r="V7" s="419" t="str">
        <f>IF(L7&lt;=20%,"Muy baja",IF(L7&lt;=40%,"Baja",IF(L7&lt;=60%,"Media",IF(L7&lt;=80%,"Alta",IF(L7&lt;=100%,"Muy alta",IF(L7&gt;=100%,"Muy alta",""))))))</f>
        <v>Media</v>
      </c>
      <c r="W7" s="173">
        <f>+IFERROR(VLOOKUP(V7,formulas!$F$1:$G$6,2,FALSE),"")</f>
        <v>0.6</v>
      </c>
      <c r="X7" s="630" t="str">
        <f>IF(U7=20%,"Leve",IF(U7=40%,"Menor",IF(U7=60%,"Moderado",IF(U7=80%,"Mayor",IF(U7=100%,"Catastrófico","")))))</f>
        <v>Mayor</v>
      </c>
      <c r="Y7" s="173">
        <f>+IFERROR(VLOOKUP(X7,formulas!$H$1:$I$6,2,FALSE),"")</f>
        <v>0.8</v>
      </c>
      <c r="Z7" s="630" t="str">
        <f>+IFERROR(VLOOKUP(V7&amp;X7,formulas!$C$2:$D$26,2,FALSE),"")</f>
        <v>Alto</v>
      </c>
      <c r="AA7" s="173">
        <f>IF(Z7="Bajo",25%,IF(Z7="Moderado",50%,IF(Z7="Alto",75%,IF(Z7="Extremo",100%,""))))</f>
        <v>0.75</v>
      </c>
      <c r="AB7" s="205"/>
      <c r="AC7" s="598" t="s">
        <v>545</v>
      </c>
      <c r="AD7" s="211" t="s">
        <v>57</v>
      </c>
      <c r="AE7" s="173">
        <f>IF(AD7="Preventivo",25%,IF(AD7="Detectivo",15%,IF(AD7="Correctivo",10%,"")))</f>
        <v>0.25</v>
      </c>
      <c r="AF7" s="211" t="s">
        <v>229</v>
      </c>
      <c r="AG7" s="173">
        <f>IF(AF7="Manual",15%,IF(AF7="Automático",25%,""))</f>
        <v>0.15</v>
      </c>
      <c r="AH7" s="173">
        <f>+AG7+AE7</f>
        <v>0.4</v>
      </c>
      <c r="AI7" s="175" t="s">
        <v>230</v>
      </c>
      <c r="AJ7" s="175" t="s">
        <v>24</v>
      </c>
      <c r="AK7" s="211" t="s">
        <v>546</v>
      </c>
      <c r="AL7" s="205">
        <f>+AA7*AH7</f>
        <v>0.30000000000000004</v>
      </c>
      <c r="AM7" s="205">
        <f>+AA7-AL7</f>
        <v>0.44999999999999996</v>
      </c>
      <c r="AN7" s="630" t="str">
        <f>+IF(C7="Corrupción","Moderado",IF(AM7&lt;=25%,"Bajo",IF(AM7&lt;=50%,"Moderado",IF(AM7&lt;=75%,"Alto",IF(AM7&gt;75%,"Extremo","")))))</f>
        <v>Moderado</v>
      </c>
      <c r="AO7" s="174" t="s">
        <v>59</v>
      </c>
      <c r="AP7" s="174">
        <v>1</v>
      </c>
      <c r="AQ7" s="393"/>
      <c r="AR7" s="393"/>
      <c r="AS7" s="506"/>
      <c r="AT7" s="506"/>
      <c r="AU7" s="393"/>
      <c r="AV7" s="210"/>
      <c r="AW7" s="210"/>
      <c r="AX7" s="210"/>
      <c r="AY7" s="210"/>
      <c r="AZ7" s="210"/>
      <c r="BA7" s="210"/>
      <c r="BB7" s="210"/>
      <c r="BC7" s="210"/>
      <c r="BD7" s="210"/>
      <c r="BE7" s="210"/>
      <c r="BF7" s="210"/>
      <c r="BG7" s="210"/>
    </row>
  </sheetData>
  <mergeCells count="51">
    <mergeCell ref="BA2:BE2"/>
    <mergeCell ref="AP1:AU1"/>
    <mergeCell ref="AV1:BE1"/>
    <mergeCell ref="AC2:AC3"/>
    <mergeCell ref="AD2:AG2"/>
    <mergeCell ref="AH2:AH3"/>
    <mergeCell ref="AI2:AK2"/>
    <mergeCell ref="AR2:AR3"/>
    <mergeCell ref="AS2:AS3"/>
    <mergeCell ref="AV2:AZ2"/>
    <mergeCell ref="AM1:AO1"/>
    <mergeCell ref="AC1:AK1"/>
    <mergeCell ref="AU2:AU3"/>
    <mergeCell ref="S4:S5"/>
    <mergeCell ref="T4:T5"/>
    <mergeCell ref="AT2:AT3"/>
    <mergeCell ref="AO4:AO5"/>
    <mergeCell ref="W4:W5"/>
    <mergeCell ref="AJ3:AK3"/>
    <mergeCell ref="AL2:AN3"/>
    <mergeCell ref="AO2:AO3"/>
    <mergeCell ref="AP2:AQ3"/>
    <mergeCell ref="A1:T2"/>
    <mergeCell ref="U1:AB2"/>
    <mergeCell ref="H4:H5"/>
    <mergeCell ref="X4:X5"/>
    <mergeCell ref="Y4:Y5"/>
    <mergeCell ref="J4:J5"/>
    <mergeCell ref="K4:K5"/>
    <mergeCell ref="L4:L5"/>
    <mergeCell ref="G4:G5"/>
    <mergeCell ref="Z4:Z5"/>
    <mergeCell ref="U4:U5"/>
    <mergeCell ref="V4:V5"/>
    <mergeCell ref="I4:I5"/>
    <mergeCell ref="G3:H3"/>
    <mergeCell ref="A4:A5"/>
    <mergeCell ref="B4:B5"/>
    <mergeCell ref="C4:C5"/>
    <mergeCell ref="D4:D5"/>
    <mergeCell ref="E4:E5"/>
    <mergeCell ref="F4:F5"/>
    <mergeCell ref="AN4:AN5"/>
    <mergeCell ref="O4:O5"/>
    <mergeCell ref="P4:P5"/>
    <mergeCell ref="N4:N5"/>
    <mergeCell ref="M4:M5"/>
    <mergeCell ref="Q4:Q5"/>
    <mergeCell ref="R4:R5"/>
    <mergeCell ref="AB4:AB5"/>
    <mergeCell ref="AA4:AA5"/>
  </mergeCells>
  <conditionalFormatting sqref="V4 V6:V7">
    <cfRule type="expression" dxfId="294" priority="51" stopIfTrue="1">
      <formula>NOT(ISERROR(SEARCH("Muy alta",V4)))</formula>
    </cfRule>
    <cfRule type="expression" dxfId="293" priority="52" stopIfTrue="1">
      <formula>NOT(ISERROR(SEARCH("Alta",V4)))</formula>
    </cfRule>
    <cfRule type="expression" dxfId="292" priority="53" stopIfTrue="1">
      <formula>NOT(ISERROR(SEARCH("Media",V4)))</formula>
    </cfRule>
  </conditionalFormatting>
  <conditionalFormatting sqref="X4 X6:X7">
    <cfRule type="containsText" dxfId="291" priority="9" operator="containsText" text="Catastrófico">
      <formula>NOT(ISERROR(SEARCH("Catastrófico",X4)))</formula>
    </cfRule>
    <cfRule type="containsText" dxfId="290" priority="10" operator="containsText" text="Mayor">
      <formula>NOT(ISERROR(SEARCH("Mayor",X4)))</formula>
    </cfRule>
    <cfRule type="containsText" dxfId="289" priority="11" operator="containsText" text="Moderado">
      <formula>NOT(ISERROR(SEARCH("Moderado",X4)))</formula>
    </cfRule>
    <cfRule type="containsText" dxfId="288" priority="12" operator="containsText" text="Menor">
      <formula>NOT(ISERROR(SEARCH("Menor",X4)))</formula>
    </cfRule>
    <cfRule type="containsText" dxfId="287" priority="13" operator="containsText" text="Leve">
      <formula>NOT(ISERROR(SEARCH("Leve",X4)))</formula>
    </cfRule>
  </conditionalFormatting>
  <conditionalFormatting sqref="Z4 Z6:Z7">
    <cfRule type="containsText" dxfId="286" priority="5" operator="containsText" text="Alto">
      <formula>NOT(ISERROR(SEARCH("Alto",Z4)))</formula>
    </cfRule>
    <cfRule type="containsText" dxfId="285" priority="6" operator="containsText" text="Moderado">
      <formula>NOT(ISERROR(SEARCH("Moderado",Z4)))</formula>
    </cfRule>
    <cfRule type="containsText" dxfId="284" priority="7" operator="containsText" text="Extremo">
      <formula>NOT(ISERROR(SEARCH("Extremo",Z4)))</formula>
    </cfRule>
    <cfRule type="containsText" dxfId="283" priority="8" operator="containsText" text="Bajo">
      <formula>NOT(ISERROR(SEARCH("Bajo",Z4)))</formula>
    </cfRule>
  </conditionalFormatting>
  <conditionalFormatting sqref="AI4:AI7">
    <cfRule type="containsText" dxfId="282" priority="48" operator="containsText" text="BAJA">
      <formula>NOT(ISERROR(SEARCH("BAJA",AI4)))</formula>
    </cfRule>
    <cfRule type="containsText" dxfId="281" priority="49" operator="containsText" text="MEDIA">
      <formula>NOT(ISERROR(SEARCH("MEDIA",AI4)))</formula>
    </cfRule>
    <cfRule type="containsText" dxfId="280" priority="50" operator="containsText" text="ALTA">
      <formula>NOT(ISERROR(SEARCH("ALTA",AI4)))</formula>
    </cfRule>
  </conditionalFormatting>
  <conditionalFormatting sqref="AK5:AK6">
    <cfRule type="containsText" dxfId="279" priority="22" operator="containsText" text="BAJA">
      <formula>NOT(ISERROR(SEARCH("BAJA",AK5)))</formula>
    </cfRule>
    <cfRule type="containsText" dxfId="278" priority="23" operator="containsText" text="MEDIA">
      <formula>NOT(ISERROR(SEARCH("MEDIA",AK5)))</formula>
    </cfRule>
    <cfRule type="containsText" dxfId="277" priority="24" operator="containsText" text="ALTA">
      <formula>NOT(ISERROR(SEARCH("ALTA",AK5)))</formula>
    </cfRule>
  </conditionalFormatting>
  <conditionalFormatting sqref="AR6">
    <cfRule type="containsText" dxfId="276" priority="19" operator="containsText" text="BAJA">
      <formula>NOT(ISERROR(SEARCH("BAJA",AR6)))</formula>
    </cfRule>
    <cfRule type="containsText" dxfId="275" priority="20" operator="containsText" text="MEDIA">
      <formula>NOT(ISERROR(SEARCH("MEDIA",AR6)))</formula>
    </cfRule>
    <cfRule type="containsText" dxfId="274" priority="21" operator="containsText" text="ALTA">
      <formula>NOT(ISERROR(SEARCH("ALTA",AR6)))</formula>
    </cfRule>
  </conditionalFormatting>
  <dataValidations count="3">
    <dataValidation type="list" allowBlank="1" showInputMessage="1" showErrorMessage="1" sqref="A4:A7">
      <formula1>"SI,NO"</formula1>
    </dataValidation>
    <dataValidation type="list" allowBlank="1" showInputMessage="1" showErrorMessage="1" sqref="AI4:AI7">
      <formula1>"Confiable,No confiable"</formula1>
    </dataValidation>
    <dataValidation type="list" allowBlank="1" showInputMessage="1" showErrorMessage="1" sqref="AF4:AF7">
      <formula1>"Manual,Automático"</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7"/>
  <sheetViews>
    <sheetView topLeftCell="E35" zoomScale="53" zoomScaleNormal="53" workbookViewId="0">
      <selection activeCell="G39" sqref="G39"/>
    </sheetView>
  </sheetViews>
  <sheetFormatPr baseColWidth="10" defaultColWidth="17.28515625" defaultRowHeight="87.6" customHeight="1"/>
  <cols>
    <col min="1" max="1" width="14.140625" style="63" customWidth="1"/>
    <col min="2" max="2" width="14" style="63" customWidth="1"/>
    <col min="3" max="3" width="17.28515625" style="63" customWidth="1"/>
    <col min="4" max="4" width="19.42578125" style="63" customWidth="1"/>
    <col min="5" max="5" width="19.5703125" style="63" customWidth="1"/>
    <col min="6" max="6" width="59.7109375" style="63" customWidth="1"/>
    <col min="7" max="7" width="9.7109375" style="63" customWidth="1"/>
    <col min="8" max="8" width="65.5703125" style="63" customWidth="1"/>
    <col min="9" max="9" width="44.28515625" style="63" customWidth="1"/>
    <col min="10" max="10" width="14.7109375" style="63" bestFit="1" customWidth="1"/>
    <col min="11" max="11" width="16.7109375" style="63" customWidth="1"/>
    <col min="12" max="12" width="19.28515625" style="63" customWidth="1"/>
    <col min="13" max="13" width="46.140625" style="63" customWidth="1"/>
    <col min="14" max="14" width="19.28515625" style="63" customWidth="1"/>
    <col min="15" max="15" width="45.28515625" style="63" customWidth="1"/>
    <col min="16" max="16" width="17.7109375" style="63" customWidth="1"/>
    <col min="17" max="17" width="32.42578125" style="63" customWidth="1"/>
    <col min="18" max="18" width="17.140625" style="63" customWidth="1"/>
    <col min="19" max="21" width="21.85546875" style="63" customWidth="1"/>
    <col min="22" max="22" width="15" style="63" customWidth="1"/>
    <col min="23" max="23" width="12.28515625" style="239" customWidth="1"/>
    <col min="24" max="24" width="13.7109375" style="63" customWidth="1"/>
    <col min="25" max="25" width="14.7109375" style="239" customWidth="1"/>
    <col min="26" max="26" width="16.85546875" style="63" bestFit="1" customWidth="1"/>
    <col min="27" max="27" width="7.85546875" style="63" customWidth="1"/>
    <col min="28" max="28" width="28.140625" style="63" customWidth="1"/>
    <col min="29" max="29" width="88" style="63" customWidth="1"/>
    <col min="30" max="30" width="10" style="63" bestFit="1" customWidth="1"/>
    <col min="31" max="31" width="8.42578125" style="239" customWidth="1"/>
    <col min="32" max="32" width="20.28515625" style="239" customWidth="1"/>
    <col min="33" max="33" width="9" style="239" customWidth="1"/>
    <col min="34" max="34" width="14.140625" style="239" customWidth="1"/>
    <col min="35" max="35" width="16.42578125" style="63" customWidth="1"/>
    <col min="36" max="36" width="14.7109375" style="63" customWidth="1"/>
    <col min="37" max="37" width="36.5703125" style="63" customWidth="1"/>
    <col min="38" max="38" width="13.7109375" style="63" customWidth="1"/>
    <col min="39" max="39" width="13.7109375" style="239" customWidth="1"/>
    <col min="40" max="40" width="13.7109375" style="63" customWidth="1"/>
    <col min="41" max="41" width="15.28515625" style="63" customWidth="1"/>
    <col min="42" max="42" width="2.28515625" style="63" customWidth="1"/>
    <col min="43" max="43" width="49.28515625" style="63" customWidth="1"/>
    <col min="44" max="44" width="17" style="63" customWidth="1"/>
    <col min="45" max="46" width="11.5703125" style="238" customWidth="1"/>
    <col min="47" max="47" width="21.85546875" style="63" customWidth="1"/>
    <col min="48" max="57" width="18.140625" style="63" customWidth="1"/>
    <col min="58" max="216" width="11.42578125" style="63" customWidth="1"/>
    <col min="217" max="217" width="21.85546875" style="63" customWidth="1"/>
    <col min="218" max="218" width="13.85546875" style="63" customWidth="1"/>
    <col min="219" max="219" width="38.7109375" style="63" customWidth="1"/>
    <col min="220" max="220" width="3" style="63" bestFit="1" customWidth="1"/>
    <col min="221" max="221" width="32.28515625" style="63" customWidth="1"/>
    <col min="222" max="222" width="46.28515625" style="63" customWidth="1"/>
    <col min="223" max="223" width="19" style="63" customWidth="1"/>
    <col min="224" max="224" width="11.42578125" style="63" customWidth="1"/>
    <col min="225" max="225" width="17.7109375" style="63" customWidth="1"/>
    <col min="226" max="226" width="11.42578125" style="63" customWidth="1"/>
    <col min="227" max="227" width="22.28515625" style="63" customWidth="1"/>
    <col min="228" max="228" width="5.28515625" style="63" customWidth="1"/>
    <col min="229" max="229" width="36.28515625" style="63" customWidth="1"/>
    <col min="230" max="230" width="5.7109375" style="63" customWidth="1"/>
    <col min="231" max="231" width="11.42578125" style="63" customWidth="1"/>
    <col min="232" max="232" width="20.7109375" style="63" customWidth="1"/>
    <col min="233" max="233" width="4.85546875" style="63" customWidth="1"/>
    <col min="234" max="234" width="11.42578125" style="63" customWidth="1"/>
    <col min="235" max="235" width="24.7109375" style="63" customWidth="1"/>
    <col min="236" max="236" width="12.28515625" style="63" customWidth="1"/>
    <col min="237" max="237" width="11.42578125" style="63" customWidth="1"/>
    <col min="238" max="238" width="3.42578125" style="63" customWidth="1"/>
    <col min="239" max="239" width="11.42578125" style="63" customWidth="1"/>
    <col min="240" max="240" width="17.7109375" style="63" customWidth="1"/>
    <col min="241" max="241" width="3.42578125" style="63" customWidth="1"/>
    <col min="242" max="242" width="11.42578125" style="63" customWidth="1"/>
    <col min="243" max="243" width="23.7109375" style="63" customWidth="1"/>
    <col min="244" max="244" width="10" style="63" customWidth="1"/>
    <col min="245" max="245" width="11.42578125" style="63" customWidth="1"/>
    <col min="246" max="247" width="14.7109375" style="63" customWidth="1"/>
    <col min="248" max="248" width="12.85546875" style="63" customWidth="1"/>
    <col min="249" max="249" width="3.28515625" style="63" customWidth="1"/>
    <col min="250" max="250" width="30.28515625" style="63" customWidth="1"/>
    <col min="251" max="251" width="5" style="63" customWidth="1"/>
    <col min="252" max="252" width="11.42578125" style="63" customWidth="1"/>
    <col min="253" max="253" width="14.28515625" style="63" customWidth="1"/>
    <col min="254" max="254" width="5.7109375" style="63" customWidth="1"/>
    <col min="255" max="255" width="11.42578125" style="63" customWidth="1"/>
    <col min="256" max="16384" width="17.28515625" style="63"/>
  </cols>
  <sheetData>
    <row r="1" spans="1:59" ht="87.6"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78" t="s">
        <v>467</v>
      </c>
      <c r="BG1" s="78" t="s">
        <v>468</v>
      </c>
    </row>
    <row r="2" spans="1:59" ht="87.6"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59"/>
      <c r="BG2" s="59"/>
    </row>
    <row r="3" spans="1:59" s="46" customFormat="1" ht="87.6" customHeight="1">
      <c r="A3" s="611" t="s">
        <v>199</v>
      </c>
      <c r="B3" s="611" t="s">
        <v>144</v>
      </c>
      <c r="C3" s="611" t="s">
        <v>6</v>
      </c>
      <c r="D3" s="611" t="s">
        <v>1</v>
      </c>
      <c r="E3" s="611" t="s">
        <v>2</v>
      </c>
      <c r="F3" s="611"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ht="87.6" customHeight="1">
      <c r="A4" s="903" t="s">
        <v>51</v>
      </c>
      <c r="B4" s="968" t="s">
        <v>102</v>
      </c>
      <c r="C4" s="968" t="s">
        <v>152</v>
      </c>
      <c r="D4" s="968" t="s">
        <v>79</v>
      </c>
      <c r="E4" s="968" t="s">
        <v>36</v>
      </c>
      <c r="F4" s="976" t="s">
        <v>789</v>
      </c>
      <c r="G4" s="976" t="s">
        <v>790</v>
      </c>
      <c r="H4" s="976" t="s">
        <v>791</v>
      </c>
      <c r="I4" s="976" t="s">
        <v>792</v>
      </c>
      <c r="J4" s="1067" t="s">
        <v>95</v>
      </c>
      <c r="K4" s="1067">
        <v>1</v>
      </c>
      <c r="L4" s="926">
        <f>IF(J4="Diaria",+(K4/360),IF(J4="Semanal",+(K4/52),IF(J4="Mensual",+(K4/12),IF(J4="Bimestral",+(K4/6),IF(J4="Trimestral",+(K4/4),IF(J4="Semestral",+(K4/2),IF(J4="Anual",+(K4/1),"")))))))</f>
        <v>0.5</v>
      </c>
      <c r="M4" s="1067" t="s">
        <v>73</v>
      </c>
      <c r="N4" s="926">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v>
      </c>
      <c r="O4" s="1067" t="s">
        <v>73</v>
      </c>
      <c r="P4" s="926">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v>
      </c>
      <c r="Q4" s="1067" t="s">
        <v>32</v>
      </c>
      <c r="R4" s="926">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0.2</v>
      </c>
      <c r="S4" s="1069" t="s">
        <v>60</v>
      </c>
      <c r="T4" s="1069" t="s">
        <v>61</v>
      </c>
      <c r="U4" s="926">
        <f>+MAX(N4,P4,R4)</f>
        <v>0.2</v>
      </c>
      <c r="V4" s="912" t="str">
        <f>IF(L4&lt;=20%,"Muy baja",IF(L4&lt;=40%,"Baja",IF(L4&lt;=60%,"Media",IF(L4&lt;=80%,"Alta",IF(L4&lt;=100%,"Muy alta",IF(L4&gt;=100%,"Muy alta",""))))))</f>
        <v>Media</v>
      </c>
      <c r="W4" s="926">
        <f>+IFERROR(VLOOKUP(V4,formulas!$F$1:$G$6,2,FALSE),"")</f>
        <v>0.6</v>
      </c>
      <c r="X4" s="911" t="str">
        <f>IF(U4=20%,"Leve",IF(U4=40%,"Menor",IF(U4=60%,"Moderado",IF(U4=80%,"Mayor",IF(U4=100%,"Catastrófico","")))))</f>
        <v>Leve</v>
      </c>
      <c r="Y4" s="926">
        <f>+IFERROR(VLOOKUP(X4,formulas!$H$1:$I$6,2,FALSE),"")</f>
        <v>0.2</v>
      </c>
      <c r="Z4" s="911" t="str">
        <f>+IFERROR(VLOOKUP(V4&amp;X4,formulas!$C$2:$D$26,2,FALSE),"")</f>
        <v>Moderado</v>
      </c>
      <c r="AA4" s="926">
        <f>IF(Z4="Bajo",25%,IF(Z4="Moderado",50%,IF(Z4="Alto",75%,IF(Z4="Extremo",100%,""))))</f>
        <v>0.5</v>
      </c>
      <c r="AB4" s="1061"/>
      <c r="AC4" s="694" t="s">
        <v>793</v>
      </c>
      <c r="AD4" s="694" t="s">
        <v>57</v>
      </c>
      <c r="AE4" s="656">
        <f t="shared" ref="AE4:AE37" si="0">IF(AD4="Preventivo",25%,IF(AD4="Detectivo",15%,IF(AD4="Correctivo",10%,"")))</f>
        <v>0.25</v>
      </c>
      <c r="AF4" s="694" t="s">
        <v>229</v>
      </c>
      <c r="AG4" s="656">
        <f>IF(AF4="Manual",15%,IF(AF4="Automático",25%,""))</f>
        <v>0.15</v>
      </c>
      <c r="AH4" s="656">
        <f>+AG4+AE4</f>
        <v>0.4</v>
      </c>
      <c r="AI4" s="613"/>
      <c r="AJ4" s="694" t="s">
        <v>41</v>
      </c>
      <c r="AK4" s="694"/>
      <c r="AL4" s="647">
        <f>+AA4*AH4</f>
        <v>0.2</v>
      </c>
      <c r="AM4" s="647">
        <f>+AA4-AL4</f>
        <v>0.3</v>
      </c>
      <c r="AN4" s="911" t="str">
        <f>+IF(C4="Corrupción","Moderado",IF(AM6&lt;=25%,"Bajo",IF(AM6&lt;=50%,"Moderado",IF(AM6&lt;=75%,"Alto",IF(AM6&gt;75%,"Extremo","")))))</f>
        <v>Bajo</v>
      </c>
      <c r="AO4" s="831" t="s">
        <v>59</v>
      </c>
      <c r="AP4" s="201">
        <v>1</v>
      </c>
      <c r="AQ4" s="1074" t="s">
        <v>794</v>
      </c>
      <c r="AR4" s="1074" t="s">
        <v>795</v>
      </c>
      <c r="AS4" s="1073">
        <v>45658</v>
      </c>
      <c r="AT4" s="1073">
        <v>46022</v>
      </c>
      <c r="AU4" s="1074" t="s">
        <v>717</v>
      </c>
      <c r="AV4" s="613"/>
      <c r="AW4" s="613"/>
      <c r="AX4" s="613"/>
      <c r="AY4" s="613"/>
      <c r="AZ4" s="613"/>
      <c r="BA4" s="613"/>
      <c r="BB4" s="613"/>
      <c r="BC4" s="613"/>
      <c r="BD4" s="613"/>
      <c r="BE4" s="613"/>
      <c r="BF4" s="640"/>
      <c r="BG4" s="640"/>
    </row>
    <row r="5" spans="1:59" ht="52.5" customHeight="1">
      <c r="A5" s="903"/>
      <c r="B5" s="968"/>
      <c r="C5" s="968"/>
      <c r="D5" s="968"/>
      <c r="E5" s="968"/>
      <c r="F5" s="976"/>
      <c r="G5" s="976"/>
      <c r="H5" s="976"/>
      <c r="I5" s="976"/>
      <c r="J5" s="1067"/>
      <c r="K5" s="1067"/>
      <c r="L5" s="926"/>
      <c r="M5" s="1067"/>
      <c r="N5" s="926"/>
      <c r="O5" s="1067"/>
      <c r="P5" s="926"/>
      <c r="Q5" s="1067"/>
      <c r="R5" s="926"/>
      <c r="S5" s="1069"/>
      <c r="T5" s="1069"/>
      <c r="U5" s="926">
        <f t="shared" ref="U5:U37" si="1">+MAX(N5,P5,R5)</f>
        <v>0</v>
      </c>
      <c r="V5" s="915"/>
      <c r="W5" s="926" t="str">
        <f>+IFERROR(VLOOKUP(V5,formulas!$F$1:$G$6,2,FALSE),"")</f>
        <v/>
      </c>
      <c r="X5" s="821"/>
      <c r="Y5" s="926" t="str">
        <f>+IFERROR(VLOOKUP(X5,formulas!$H$1:$I$6,2,FALSE),"")</f>
        <v/>
      </c>
      <c r="Z5" s="821"/>
      <c r="AA5" s="926" t="str">
        <f t="shared" ref="AA5:AA37" si="2">IF(Z5="Bajo",25%,IF(Z5="Moderado",50%,IF(Z5="Alto",75%,IF(Z5="Extremo",100%,""))))</f>
        <v/>
      </c>
      <c r="AB5" s="1061"/>
      <c r="AC5" s="694" t="s">
        <v>796</v>
      </c>
      <c r="AD5" s="694" t="s">
        <v>39</v>
      </c>
      <c r="AE5" s="656">
        <f t="shared" si="0"/>
        <v>0.15</v>
      </c>
      <c r="AF5" s="694" t="s">
        <v>229</v>
      </c>
      <c r="AG5" s="656">
        <f t="shared" ref="AG5:AG37" si="3">IF(AF5="Manual",15%,IF(AF5="Automático",25%,""))</f>
        <v>0.15</v>
      </c>
      <c r="AH5" s="656">
        <f t="shared" ref="AH5:AH37" si="4">+AG5+AE5</f>
        <v>0.3</v>
      </c>
      <c r="AI5" s="613"/>
      <c r="AJ5" s="694" t="s">
        <v>41</v>
      </c>
      <c r="AK5" s="694"/>
      <c r="AL5" s="647">
        <f>+AM4*AH5</f>
        <v>0.09</v>
      </c>
      <c r="AM5" s="647">
        <f>+AM4-AL5</f>
        <v>0.21</v>
      </c>
      <c r="AN5" s="821"/>
      <c r="AO5" s="831"/>
      <c r="AP5" s="201">
        <v>2</v>
      </c>
      <c r="AQ5" s="1074"/>
      <c r="AR5" s="1074"/>
      <c r="AS5" s="1073"/>
      <c r="AT5" s="1073"/>
      <c r="AU5" s="1074"/>
      <c r="AV5" s="640"/>
      <c r="AW5" s="640"/>
      <c r="AX5" s="640"/>
      <c r="AY5" s="640"/>
      <c r="AZ5" s="640"/>
      <c r="BA5" s="640"/>
      <c r="BB5" s="640"/>
      <c r="BC5" s="640"/>
      <c r="BD5" s="640"/>
      <c r="BE5" s="640"/>
      <c r="BF5" s="640"/>
      <c r="BG5" s="640"/>
    </row>
    <row r="6" spans="1:59" ht="41.25" customHeight="1" thickBot="1">
      <c r="A6" s="895"/>
      <c r="B6" s="969"/>
      <c r="C6" s="969"/>
      <c r="D6" s="969"/>
      <c r="E6" s="969"/>
      <c r="F6" s="977"/>
      <c r="G6" s="977"/>
      <c r="H6" s="977"/>
      <c r="I6" s="977"/>
      <c r="J6" s="1068"/>
      <c r="K6" s="1068"/>
      <c r="L6" s="927"/>
      <c r="M6" s="1068"/>
      <c r="N6" s="927"/>
      <c r="O6" s="1068"/>
      <c r="P6" s="927"/>
      <c r="Q6" s="1068"/>
      <c r="R6" s="927"/>
      <c r="S6" s="1070"/>
      <c r="T6" s="1070"/>
      <c r="U6" s="927">
        <f t="shared" si="1"/>
        <v>0</v>
      </c>
      <c r="V6" s="1045"/>
      <c r="W6" s="927" t="str">
        <f>+IFERROR(VLOOKUP(V6,formulas!$F$1:$G$6,2,FALSE),"")</f>
        <v/>
      </c>
      <c r="X6" s="822"/>
      <c r="Y6" s="927" t="str">
        <f>+IFERROR(VLOOKUP(X6,formulas!$H$1:$I$6,2,FALSE),"")</f>
        <v/>
      </c>
      <c r="Z6" s="822"/>
      <c r="AA6" s="927" t="str">
        <f t="shared" si="2"/>
        <v/>
      </c>
      <c r="AB6" s="1060"/>
      <c r="AC6" s="695" t="s">
        <v>797</v>
      </c>
      <c r="AD6" s="695" t="s">
        <v>39</v>
      </c>
      <c r="AE6" s="657">
        <f t="shared" si="0"/>
        <v>0.15</v>
      </c>
      <c r="AF6" s="695" t="s">
        <v>229</v>
      </c>
      <c r="AG6" s="657">
        <f t="shared" si="3"/>
        <v>0.15</v>
      </c>
      <c r="AH6" s="657">
        <f t="shared" si="4"/>
        <v>0.3</v>
      </c>
      <c r="AI6" s="614"/>
      <c r="AJ6" s="695" t="s">
        <v>41</v>
      </c>
      <c r="AK6" s="695"/>
      <c r="AL6" s="648">
        <f>+AM5*AH6</f>
        <v>6.3E-2</v>
      </c>
      <c r="AM6" s="648">
        <f>+AM5-AL6</f>
        <v>0.14699999999999999</v>
      </c>
      <c r="AN6" s="822"/>
      <c r="AO6" s="827"/>
      <c r="AP6" s="623">
        <v>3</v>
      </c>
      <c r="AQ6" s="269" t="s">
        <v>798</v>
      </c>
      <c r="AR6" s="269" t="s">
        <v>795</v>
      </c>
      <c r="AS6" s="270">
        <v>45658</v>
      </c>
      <c r="AT6" s="270">
        <v>46021</v>
      </c>
      <c r="AU6" s="269" t="s">
        <v>799</v>
      </c>
      <c r="AV6" s="638"/>
      <c r="AW6" s="638"/>
      <c r="AX6" s="638"/>
      <c r="AY6" s="638"/>
      <c r="AZ6" s="638"/>
      <c r="BA6" s="638"/>
      <c r="BB6" s="638"/>
      <c r="BC6" s="638"/>
      <c r="BD6" s="638"/>
      <c r="BE6" s="638"/>
      <c r="BF6" s="638"/>
      <c r="BG6" s="638"/>
    </row>
    <row r="7" spans="1:59" ht="60.75" customHeight="1" thickBot="1">
      <c r="A7" s="894" t="s">
        <v>231</v>
      </c>
      <c r="B7" s="967" t="s">
        <v>102</v>
      </c>
      <c r="C7" s="967" t="s">
        <v>92</v>
      </c>
      <c r="D7" s="967" t="s">
        <v>79</v>
      </c>
      <c r="E7" s="967" t="s">
        <v>91</v>
      </c>
      <c r="F7" s="975" t="s">
        <v>800</v>
      </c>
      <c r="G7" s="975" t="s">
        <v>801</v>
      </c>
      <c r="H7" s="975" t="s">
        <v>802</v>
      </c>
      <c r="I7" s="975" t="s">
        <v>803</v>
      </c>
      <c r="J7" s="967" t="s">
        <v>95</v>
      </c>
      <c r="K7" s="967">
        <v>1</v>
      </c>
      <c r="L7" s="953">
        <f t="shared" ref="L7:L37" si="5">IF(J7="Diaria",+(K7/360),IF(J7="Semanal",+(K7/52),IF(J7="Mensual",+(K7/12),IF(J7="Bimestral",+(K7/6),IF(J7="Trimestral",+(K7/4),IF(J7="Semestral",+(K7/2),IF(J7="Anual",+(K7/1),"")))))))</f>
        <v>0.5</v>
      </c>
      <c r="M7" s="967" t="s">
        <v>63</v>
      </c>
      <c r="N7" s="953">
        <f t="shared" ref="N7:N37" si="6">IF(M7="Menor al 1% del patrimonio de la Lotería de Bogotá",20%,IF(M7="Entre el 1% y el 3% del patrimonio de la Lotería de Bogotá",40%,IF(M7="Entre el 3% y el 6% del patrimonio de la Lotería de Bogotá",60%,IF(M7="Entre el 6% y el 10% del patrimonio de la Lotería de Bogotá",80%,IF(M7="Mayor al 10% del patrimonio de la Lotería de Bogotá",100%,IF(M7="NA",0%,""))))))</f>
        <v>0.6</v>
      </c>
      <c r="O7" s="967" t="s">
        <v>48</v>
      </c>
      <c r="P7" s="953">
        <f t="shared" ref="P7:P37" si="7">IF(O7="El riesgo afecta la imagen de algún área de la organización",20%,IF(O7="El riesgo afecta la imagen de la entidad internamente, de conocimiento general nivel interno, de junta directiva y accionistas y/o de proveedores",40%,IF(O7="El riesgo afecta la imagen de la entidad con algunos usuarios de relevancia frente al logro de los objetivos",60%,IF(O7="El riesgo afecta la imagen de la entidad con efecto publicitario sostenido a nivel de sector administrativo, nivel departamental o municipal",80%,IF(O7="El riesgo afecta la imagen de la entidad a nivel nacional, con efecto publicitario sostenido a nivel país",100%,IF(O7="NA",0%,""))))))</f>
        <v>0.4</v>
      </c>
      <c r="Q7" s="967" t="s">
        <v>73</v>
      </c>
      <c r="R7" s="953">
        <f t="shared" ref="R7:R37" si="8">IF(Q7="Interrupción de la operación por menos de un día",20%,IF(Q7="Interrupción de la operación por un día completo",40%,IF(Q7="Interrupción de la operación mayor a 1 día y menor a 2 días",60%,IF(Q7="Interrupción de la operación por dos días completos",80%,IF(Q7="Interrupción de la operación por más de dos días",100%,IF(Q7="NA",0%,""))))))</f>
        <v>0</v>
      </c>
      <c r="S7" s="1062" t="s">
        <v>60</v>
      </c>
      <c r="T7" s="1062" t="s">
        <v>61</v>
      </c>
      <c r="U7" s="953">
        <f t="shared" si="1"/>
        <v>0.6</v>
      </c>
      <c r="V7" s="912" t="str">
        <f t="shared" ref="V7:V37" si="9">IF(L7&lt;=20%,"Muy baja",IF(L7&lt;=40%,"Baja",IF(L7&lt;=60%,"Media",IF(L7&lt;=80%,"Alta",IF(L7&lt;=100%,"Muy alta",IF(L7&gt;=100%,"Muy alta",""))))))</f>
        <v>Media</v>
      </c>
      <c r="W7" s="953">
        <f>+IFERROR(VLOOKUP(V7,formulas!$F$1:$G$6,2,FALSE),"")</f>
        <v>0.6</v>
      </c>
      <c r="X7" s="820" t="str">
        <f t="shared" ref="X7:X37" si="10">IF(U7=20%,"Leve",IF(U7=40%,"Menor",IF(U7=60%,"Moderado",IF(U7=80%,"Mayor",IF(U7=100%,"Catastrófico","")))))</f>
        <v>Moderado</v>
      </c>
      <c r="Y7" s="953">
        <f>+IFERROR(VLOOKUP(X7,formulas!$H$1:$I$6,2,FALSE),"")</f>
        <v>0.6</v>
      </c>
      <c r="Z7" s="820" t="str">
        <f>+IFERROR(VLOOKUP(V7&amp;X7,formulas!$C$2:$D$26,2,FALSE),"")</f>
        <v>Moderado</v>
      </c>
      <c r="AA7" s="953">
        <f t="shared" si="2"/>
        <v>0.5</v>
      </c>
      <c r="AB7" s="1059"/>
      <c r="AC7" s="677" t="s">
        <v>804</v>
      </c>
      <c r="AD7" s="677" t="s">
        <v>57</v>
      </c>
      <c r="AE7" s="667">
        <f t="shared" si="0"/>
        <v>0.25</v>
      </c>
      <c r="AF7" s="677" t="s">
        <v>229</v>
      </c>
      <c r="AG7" s="667">
        <f t="shared" si="3"/>
        <v>0.15</v>
      </c>
      <c r="AH7" s="667">
        <f t="shared" si="4"/>
        <v>0.4</v>
      </c>
      <c r="AI7" s="276"/>
      <c r="AJ7" s="677" t="s">
        <v>24</v>
      </c>
      <c r="AK7" s="677" t="s">
        <v>805</v>
      </c>
      <c r="AL7" s="690">
        <f t="shared" ref="AL7:AL37" si="11">+AA7*AH7</f>
        <v>0.2</v>
      </c>
      <c r="AM7" s="690">
        <f t="shared" ref="AM7:AM37" si="12">+AA7-AL7</f>
        <v>0.3</v>
      </c>
      <c r="AN7" s="820" t="str">
        <f>+IF(C7="Corrupción","Moderado",IF(AM10&lt;=25%,"Bajo",IF(AM10&lt;=50%,"Moderado",IF(AM10&lt;=75%,"Alto",IF(AM10&gt;75%,"Extremo","")))))</f>
        <v>Bajo</v>
      </c>
      <c r="AO7" s="826" t="s">
        <v>59</v>
      </c>
      <c r="AP7" s="276">
        <v>1</v>
      </c>
      <c r="AQ7" s="272" t="s">
        <v>806</v>
      </c>
      <c r="AR7" s="674" t="s">
        <v>807</v>
      </c>
      <c r="AS7" s="271">
        <v>45658</v>
      </c>
      <c r="AT7" s="271">
        <v>46021</v>
      </c>
      <c r="AU7" s="272" t="s">
        <v>808</v>
      </c>
      <c r="AV7" s="276"/>
      <c r="AW7" s="276"/>
      <c r="AX7" s="276"/>
      <c r="AY7" s="276"/>
      <c r="AZ7" s="276"/>
      <c r="BA7" s="276"/>
      <c r="BB7" s="276"/>
      <c r="BC7" s="276"/>
      <c r="BD7" s="276"/>
      <c r="BE7" s="276"/>
      <c r="BF7" s="276"/>
      <c r="BG7" s="276"/>
    </row>
    <row r="8" spans="1:59" ht="74.25" customHeight="1">
      <c r="A8" s="903"/>
      <c r="B8" s="968"/>
      <c r="C8" s="968"/>
      <c r="D8" s="968"/>
      <c r="E8" s="968"/>
      <c r="F8" s="976"/>
      <c r="G8" s="976"/>
      <c r="H8" s="976"/>
      <c r="I8" s="976"/>
      <c r="J8" s="968"/>
      <c r="K8" s="968"/>
      <c r="L8" s="926"/>
      <c r="M8" s="968"/>
      <c r="N8" s="926"/>
      <c r="O8" s="968"/>
      <c r="P8" s="926"/>
      <c r="Q8" s="968"/>
      <c r="R8" s="926"/>
      <c r="S8" s="1064"/>
      <c r="T8" s="1064"/>
      <c r="U8" s="926"/>
      <c r="V8" s="915"/>
      <c r="W8" s="926"/>
      <c r="X8" s="821"/>
      <c r="Y8" s="926"/>
      <c r="Z8" s="821"/>
      <c r="AA8" s="926"/>
      <c r="AB8" s="1061"/>
      <c r="AC8" s="677" t="s">
        <v>809</v>
      </c>
      <c r="AD8" s="672" t="s">
        <v>57</v>
      </c>
      <c r="AE8" s="656">
        <f t="shared" si="0"/>
        <v>0.25</v>
      </c>
      <c r="AF8" s="672" t="s">
        <v>229</v>
      </c>
      <c r="AG8" s="656">
        <f t="shared" si="3"/>
        <v>0.15</v>
      </c>
      <c r="AH8" s="656">
        <f t="shared" si="4"/>
        <v>0.4</v>
      </c>
      <c r="AI8" s="59"/>
      <c r="AJ8" s="672" t="s">
        <v>24</v>
      </c>
      <c r="AK8" s="672" t="s">
        <v>810</v>
      </c>
      <c r="AL8" s="647">
        <f>+AM7*AH8</f>
        <v>0.12</v>
      </c>
      <c r="AM8" s="647">
        <f>+AM7-AL8</f>
        <v>0.18</v>
      </c>
      <c r="AN8" s="821"/>
      <c r="AO8" s="831"/>
      <c r="AP8" s="59">
        <v>2</v>
      </c>
      <c r="AQ8" s="696" t="s">
        <v>811</v>
      </c>
      <c r="AR8" s="696" t="s">
        <v>812</v>
      </c>
      <c r="AS8" s="265">
        <v>45658</v>
      </c>
      <c r="AT8" s="265">
        <v>46021</v>
      </c>
      <c r="AU8" s="266" t="s">
        <v>813</v>
      </c>
      <c r="AV8" s="59"/>
      <c r="AW8" s="59"/>
      <c r="AX8" s="59"/>
      <c r="AY8" s="59"/>
      <c r="AZ8" s="59"/>
      <c r="BA8" s="59"/>
      <c r="BB8" s="59"/>
      <c r="BC8" s="59"/>
      <c r="BD8" s="59"/>
      <c r="BE8" s="59"/>
      <c r="BF8" s="59"/>
      <c r="BG8" s="59"/>
    </row>
    <row r="9" spans="1:59" ht="38.25" customHeight="1">
      <c r="A9" s="903"/>
      <c r="B9" s="968"/>
      <c r="C9" s="968"/>
      <c r="D9" s="968"/>
      <c r="E9" s="968"/>
      <c r="F9" s="976"/>
      <c r="G9" s="976"/>
      <c r="H9" s="976"/>
      <c r="I9" s="976"/>
      <c r="J9" s="968"/>
      <c r="K9" s="968"/>
      <c r="L9" s="926"/>
      <c r="M9" s="968"/>
      <c r="N9" s="926"/>
      <c r="O9" s="968"/>
      <c r="P9" s="926"/>
      <c r="Q9" s="968"/>
      <c r="R9" s="926"/>
      <c r="S9" s="1064"/>
      <c r="T9" s="1064"/>
      <c r="U9" s="926"/>
      <c r="V9" s="915"/>
      <c r="W9" s="926"/>
      <c r="X9" s="821"/>
      <c r="Y9" s="926"/>
      <c r="Z9" s="821"/>
      <c r="AA9" s="926"/>
      <c r="AB9" s="1061"/>
      <c r="AC9" s="672" t="s">
        <v>814</v>
      </c>
      <c r="AD9" s="672" t="s">
        <v>39</v>
      </c>
      <c r="AE9" s="656">
        <f t="shared" si="0"/>
        <v>0.15</v>
      </c>
      <c r="AF9" s="672" t="s">
        <v>229</v>
      </c>
      <c r="AG9" s="656">
        <f t="shared" si="3"/>
        <v>0.15</v>
      </c>
      <c r="AH9" s="656">
        <f t="shared" si="4"/>
        <v>0.3</v>
      </c>
      <c r="AI9" s="59"/>
      <c r="AJ9" s="672" t="s">
        <v>24</v>
      </c>
      <c r="AK9" s="672" t="s">
        <v>815</v>
      </c>
      <c r="AL9" s="647">
        <f>+AM8*AH9</f>
        <v>5.3999999999999999E-2</v>
      </c>
      <c r="AM9" s="647">
        <f>+AM8-AL9</f>
        <v>0.126</v>
      </c>
      <c r="AN9" s="821"/>
      <c r="AO9" s="831"/>
      <c r="AP9" s="59">
        <v>3</v>
      </c>
      <c r="AQ9" s="681" t="s">
        <v>816</v>
      </c>
      <c r="AR9" s="681" t="s">
        <v>807</v>
      </c>
      <c r="AS9" s="265">
        <v>45658</v>
      </c>
      <c r="AT9" s="265">
        <v>46021</v>
      </c>
      <c r="AU9" s="56" t="s">
        <v>817</v>
      </c>
      <c r="AV9" s="59"/>
      <c r="AW9" s="59"/>
      <c r="AX9" s="59"/>
      <c r="AY9" s="59"/>
      <c r="AZ9" s="59"/>
      <c r="BA9" s="59"/>
      <c r="BB9" s="59"/>
      <c r="BC9" s="59"/>
      <c r="BD9" s="59"/>
      <c r="BE9" s="59"/>
      <c r="BF9" s="59"/>
      <c r="BG9" s="59"/>
    </row>
    <row r="10" spans="1:59" ht="48" customHeight="1" thickBot="1">
      <c r="A10" s="903"/>
      <c r="B10" s="968"/>
      <c r="C10" s="968"/>
      <c r="D10" s="968"/>
      <c r="E10" s="968"/>
      <c r="F10" s="976"/>
      <c r="G10" s="976"/>
      <c r="H10" s="976"/>
      <c r="I10" s="976"/>
      <c r="J10" s="968"/>
      <c r="K10" s="968"/>
      <c r="L10" s="926"/>
      <c r="M10" s="968"/>
      <c r="N10" s="926"/>
      <c r="O10" s="968"/>
      <c r="P10" s="926"/>
      <c r="Q10" s="968"/>
      <c r="R10" s="926"/>
      <c r="S10" s="1064"/>
      <c r="T10" s="1064"/>
      <c r="U10" s="926"/>
      <c r="V10" s="915"/>
      <c r="W10" s="926"/>
      <c r="X10" s="821"/>
      <c r="Y10" s="926"/>
      <c r="Z10" s="821"/>
      <c r="AA10" s="926"/>
      <c r="AB10" s="1061"/>
      <c r="AC10" s="694" t="s">
        <v>818</v>
      </c>
      <c r="AD10" s="694" t="s">
        <v>39</v>
      </c>
      <c r="AE10" s="656">
        <f t="shared" si="0"/>
        <v>0.15</v>
      </c>
      <c r="AF10" s="694" t="s">
        <v>229</v>
      </c>
      <c r="AG10" s="656">
        <f t="shared" si="3"/>
        <v>0.15</v>
      </c>
      <c r="AH10" s="656">
        <f t="shared" si="4"/>
        <v>0.3</v>
      </c>
      <c r="AI10" s="59"/>
      <c r="AJ10" s="694" t="s">
        <v>24</v>
      </c>
      <c r="AK10" s="694" t="s">
        <v>819</v>
      </c>
      <c r="AL10" s="647">
        <f>+AM9*AH10</f>
        <v>3.78E-2</v>
      </c>
      <c r="AM10" s="647">
        <f>+AM9-AL10</f>
        <v>8.8200000000000001E-2</v>
      </c>
      <c r="AN10" s="821"/>
      <c r="AO10" s="831"/>
      <c r="AP10" s="59">
        <v>4</v>
      </c>
      <c r="AQ10" s="47" t="s">
        <v>820</v>
      </c>
      <c r="AR10" s="47" t="s">
        <v>821</v>
      </c>
      <c r="AS10" s="265">
        <v>45658</v>
      </c>
      <c r="AT10" s="265">
        <v>46021</v>
      </c>
      <c r="AU10" s="47" t="s">
        <v>822</v>
      </c>
      <c r="AV10" s="59"/>
      <c r="AW10" s="59"/>
      <c r="AX10" s="59"/>
      <c r="AY10" s="59"/>
      <c r="AZ10" s="59"/>
      <c r="BA10" s="59"/>
      <c r="BB10" s="59"/>
      <c r="BC10" s="59"/>
      <c r="BD10" s="59"/>
      <c r="BE10" s="59"/>
      <c r="BF10" s="59"/>
      <c r="BG10" s="59"/>
    </row>
    <row r="11" spans="1:59" ht="93" customHeight="1" thickBot="1">
      <c r="A11" s="903"/>
      <c r="B11" s="968"/>
      <c r="C11" s="968"/>
      <c r="D11" s="968"/>
      <c r="E11" s="968"/>
      <c r="F11" s="976"/>
      <c r="G11" s="976"/>
      <c r="H11" s="976"/>
      <c r="I11" s="976"/>
      <c r="J11" s="968"/>
      <c r="K11" s="968"/>
      <c r="L11" s="926"/>
      <c r="M11" s="968"/>
      <c r="N11" s="926"/>
      <c r="O11" s="968"/>
      <c r="P11" s="926"/>
      <c r="Q11" s="968"/>
      <c r="R11" s="926"/>
      <c r="S11" s="1064"/>
      <c r="T11" s="1064"/>
      <c r="U11" s="926"/>
      <c r="V11" s="1045"/>
      <c r="W11" s="926"/>
      <c r="X11" s="822"/>
      <c r="Y11" s="926"/>
      <c r="Z11" s="822"/>
      <c r="AA11" s="926"/>
      <c r="AB11" s="1061"/>
      <c r="AC11" s="699" t="s">
        <v>823</v>
      </c>
      <c r="AD11" s="672"/>
      <c r="AE11" s="656" t="str">
        <f t="shared" si="0"/>
        <v/>
      </c>
      <c r="AF11" s="672"/>
      <c r="AG11" s="656" t="str">
        <f t="shared" si="3"/>
        <v/>
      </c>
      <c r="AH11" s="656" t="e">
        <f t="shared" si="4"/>
        <v>#VALUE!</v>
      </c>
      <c r="AI11" s="59"/>
      <c r="AJ11" s="672" t="s">
        <v>41</v>
      </c>
      <c r="AK11" s="672"/>
      <c r="AL11" s="647" t="e">
        <f>+AM10*AH11</f>
        <v>#VALUE!</v>
      </c>
      <c r="AM11" s="647" t="e">
        <f>+AM10-AL11</f>
        <v>#VALUE!</v>
      </c>
      <c r="AN11" s="822"/>
      <c r="AO11" s="831"/>
      <c r="AP11" s="59">
        <v>5</v>
      </c>
      <c r="AQ11" s="47" t="s">
        <v>824</v>
      </c>
      <c r="AR11" s="47" t="s">
        <v>821</v>
      </c>
      <c r="AS11" s="265">
        <v>45658</v>
      </c>
      <c r="AT11" s="265">
        <v>46021</v>
      </c>
      <c r="AU11" s="47" t="s">
        <v>825</v>
      </c>
      <c r="AV11" s="59"/>
      <c r="AW11" s="59"/>
      <c r="AX11" s="59"/>
      <c r="AY11" s="59"/>
      <c r="AZ11" s="59"/>
      <c r="BA11" s="59"/>
      <c r="BB11" s="59"/>
      <c r="BC11" s="59"/>
      <c r="BD11" s="59"/>
      <c r="BE11" s="59"/>
      <c r="BF11" s="59"/>
      <c r="BG11" s="59"/>
    </row>
    <row r="12" spans="1:59" ht="51" customHeight="1">
      <c r="A12" s="903" t="s">
        <v>51</v>
      </c>
      <c r="B12" s="968" t="s">
        <v>102</v>
      </c>
      <c r="C12" s="968" t="s">
        <v>92</v>
      </c>
      <c r="D12" s="968" t="s">
        <v>79</v>
      </c>
      <c r="E12" s="968" t="s">
        <v>36</v>
      </c>
      <c r="F12" s="976" t="s">
        <v>826</v>
      </c>
      <c r="G12" s="976" t="s">
        <v>827</v>
      </c>
      <c r="H12" s="976" t="s">
        <v>828</v>
      </c>
      <c r="I12" s="976" t="s">
        <v>829</v>
      </c>
      <c r="J12" s="968" t="s">
        <v>95</v>
      </c>
      <c r="K12" s="968">
        <v>1</v>
      </c>
      <c r="L12" s="926">
        <f t="shared" si="5"/>
        <v>0.5</v>
      </c>
      <c r="M12" s="968" t="s">
        <v>30</v>
      </c>
      <c r="N12" s="926">
        <f t="shared" si="6"/>
        <v>0.2</v>
      </c>
      <c r="O12" s="968" t="s">
        <v>73</v>
      </c>
      <c r="P12" s="926">
        <f t="shared" si="7"/>
        <v>0</v>
      </c>
      <c r="Q12" s="968" t="s">
        <v>73</v>
      </c>
      <c r="R12" s="926">
        <f t="shared" si="8"/>
        <v>0</v>
      </c>
      <c r="S12" s="1064" t="s">
        <v>73</v>
      </c>
      <c r="T12" s="1064" t="s">
        <v>45</v>
      </c>
      <c r="U12" s="926">
        <f t="shared" si="1"/>
        <v>0.2</v>
      </c>
      <c r="V12" s="912" t="str">
        <f t="shared" si="9"/>
        <v>Media</v>
      </c>
      <c r="W12" s="926">
        <f>+IFERROR(VLOOKUP(V12,formulas!$F$1:$G$6,2,FALSE),"")</f>
        <v>0.6</v>
      </c>
      <c r="X12" s="820" t="str">
        <f t="shared" si="10"/>
        <v>Leve</v>
      </c>
      <c r="Y12" s="926">
        <f>+IFERROR(VLOOKUP(X12,formulas!$H$1:$I$6,2,FALSE),"")</f>
        <v>0.2</v>
      </c>
      <c r="Z12" s="820" t="str">
        <f>+IFERROR(VLOOKUP(V12&amp;X12,formulas!$C$2:$D$26,2,FALSE),"")</f>
        <v>Moderado</v>
      </c>
      <c r="AA12" s="926">
        <f t="shared" si="2"/>
        <v>0.5</v>
      </c>
      <c r="AB12" s="1057" t="s">
        <v>830</v>
      </c>
      <c r="AC12" s="677" t="s">
        <v>831</v>
      </c>
      <c r="AD12" s="672" t="s">
        <v>57</v>
      </c>
      <c r="AE12" s="656">
        <f t="shared" si="0"/>
        <v>0.25</v>
      </c>
      <c r="AF12" s="672" t="s">
        <v>229</v>
      </c>
      <c r="AG12" s="656">
        <f t="shared" si="3"/>
        <v>0.15</v>
      </c>
      <c r="AH12" s="656">
        <f t="shared" si="4"/>
        <v>0.4</v>
      </c>
      <c r="AI12" s="59"/>
      <c r="AJ12" s="672" t="s">
        <v>24</v>
      </c>
      <c r="AK12" s="672" t="s">
        <v>832</v>
      </c>
      <c r="AL12" s="647">
        <f t="shared" si="11"/>
        <v>0.2</v>
      </c>
      <c r="AM12" s="647">
        <f t="shared" si="12"/>
        <v>0.3</v>
      </c>
      <c r="AN12" s="820" t="str">
        <f>+IF(C12="Corrupción","Moderado",IF(AM14&lt;=25%,"Bajo",IF(AM14&lt;=50%,"Moderado",IF(AM14&lt;=75%,"Alto",IF(AM14&gt;75%,"Extremo","")))))</f>
        <v>Bajo</v>
      </c>
      <c r="AO12" s="831" t="s">
        <v>59</v>
      </c>
      <c r="AP12" s="59">
        <v>1</v>
      </c>
      <c r="AQ12" s="277" t="s">
        <v>833</v>
      </c>
      <c r="AR12" s="681" t="s">
        <v>795</v>
      </c>
      <c r="AS12" s="55">
        <v>45658</v>
      </c>
      <c r="AT12" s="55">
        <v>46022</v>
      </c>
      <c r="AU12" s="277" t="s">
        <v>834</v>
      </c>
      <c r="AV12" s="59"/>
      <c r="AW12" s="59"/>
      <c r="AX12" s="59"/>
      <c r="AY12" s="59"/>
      <c r="AZ12" s="59"/>
      <c r="BA12" s="59"/>
      <c r="BB12" s="59"/>
      <c r="BC12" s="59"/>
      <c r="BD12" s="59"/>
      <c r="BE12" s="59"/>
      <c r="BF12" s="59"/>
      <c r="BG12" s="59"/>
    </row>
    <row r="13" spans="1:59" ht="51" customHeight="1">
      <c r="A13" s="903"/>
      <c r="B13" s="968"/>
      <c r="C13" s="968"/>
      <c r="D13" s="968"/>
      <c r="E13" s="968"/>
      <c r="F13" s="976"/>
      <c r="G13" s="976"/>
      <c r="H13" s="976"/>
      <c r="I13" s="976"/>
      <c r="J13" s="968"/>
      <c r="K13" s="968"/>
      <c r="L13" s="926"/>
      <c r="M13" s="968"/>
      <c r="N13" s="926"/>
      <c r="O13" s="968"/>
      <c r="P13" s="926"/>
      <c r="Q13" s="968"/>
      <c r="R13" s="926"/>
      <c r="S13" s="1064"/>
      <c r="T13" s="1064"/>
      <c r="U13" s="926">
        <f t="shared" si="1"/>
        <v>0</v>
      </c>
      <c r="V13" s="915"/>
      <c r="W13" s="926" t="str">
        <f>+IFERROR(VLOOKUP(V13,formulas!$F$1:$G$6,2,FALSE),"")</f>
        <v/>
      </c>
      <c r="X13" s="821"/>
      <c r="Y13" s="926" t="str">
        <f>+IFERROR(VLOOKUP(X13,formulas!$H$1:$I$6,2,FALSE),"")</f>
        <v/>
      </c>
      <c r="Z13" s="821"/>
      <c r="AA13" s="926" t="str">
        <f t="shared" si="2"/>
        <v/>
      </c>
      <c r="AB13" s="1057"/>
      <c r="AC13" s="672" t="s">
        <v>835</v>
      </c>
      <c r="AD13" s="672" t="s">
        <v>57</v>
      </c>
      <c r="AE13" s="656">
        <f t="shared" si="0"/>
        <v>0.25</v>
      </c>
      <c r="AF13" s="672" t="s">
        <v>229</v>
      </c>
      <c r="AG13" s="656">
        <f t="shared" si="3"/>
        <v>0.15</v>
      </c>
      <c r="AH13" s="656">
        <f t="shared" si="4"/>
        <v>0.4</v>
      </c>
      <c r="AI13" s="59"/>
      <c r="AJ13" s="672" t="s">
        <v>24</v>
      </c>
      <c r="AK13" s="672" t="s">
        <v>836</v>
      </c>
      <c r="AL13" s="647">
        <f>+AM12*AH13</f>
        <v>0.12</v>
      </c>
      <c r="AM13" s="647">
        <f>+AM12-AL13</f>
        <v>0.18</v>
      </c>
      <c r="AN13" s="821"/>
      <c r="AO13" s="831"/>
      <c r="AP13" s="59">
        <v>2</v>
      </c>
      <c r="AQ13" s="672" t="s">
        <v>837</v>
      </c>
      <c r="AR13" s="672" t="s">
        <v>795</v>
      </c>
      <c r="AS13" s="55">
        <v>45658</v>
      </c>
      <c r="AT13" s="55">
        <v>46022</v>
      </c>
      <c r="AU13" s="277" t="s">
        <v>838</v>
      </c>
      <c r="AV13" s="59"/>
      <c r="AW13" s="59"/>
      <c r="AX13" s="59"/>
      <c r="AY13" s="59"/>
      <c r="AZ13" s="59"/>
      <c r="BA13" s="59"/>
      <c r="BB13" s="59"/>
      <c r="BC13" s="59"/>
      <c r="BD13" s="59"/>
      <c r="BE13" s="59"/>
      <c r="BF13" s="59"/>
      <c r="BG13" s="59"/>
    </row>
    <row r="14" spans="1:59" ht="87.6" customHeight="1" thickBot="1">
      <c r="A14" s="895"/>
      <c r="B14" s="969"/>
      <c r="C14" s="969"/>
      <c r="D14" s="969"/>
      <c r="E14" s="969"/>
      <c r="F14" s="977"/>
      <c r="G14" s="977"/>
      <c r="H14" s="977"/>
      <c r="I14" s="977"/>
      <c r="J14" s="969"/>
      <c r="K14" s="969"/>
      <c r="L14" s="927"/>
      <c r="M14" s="969"/>
      <c r="N14" s="927"/>
      <c r="O14" s="969"/>
      <c r="P14" s="927"/>
      <c r="Q14" s="969"/>
      <c r="R14" s="927"/>
      <c r="S14" s="1063"/>
      <c r="T14" s="1063"/>
      <c r="U14" s="927">
        <f t="shared" si="1"/>
        <v>0</v>
      </c>
      <c r="V14" s="1045"/>
      <c r="W14" s="927" t="str">
        <f>+IFERROR(VLOOKUP(V14,formulas!$F$1:$G$6,2,FALSE),"")</f>
        <v/>
      </c>
      <c r="X14" s="822"/>
      <c r="Y14" s="927" t="str">
        <f>+IFERROR(VLOOKUP(X14,formulas!$H$1:$I$6,2,FALSE),"")</f>
        <v/>
      </c>
      <c r="Z14" s="822"/>
      <c r="AA14" s="927" t="str">
        <f t="shared" si="2"/>
        <v/>
      </c>
      <c r="AB14" s="1058"/>
      <c r="AC14" s="673" t="s">
        <v>839</v>
      </c>
      <c r="AD14" s="673" t="s">
        <v>57</v>
      </c>
      <c r="AE14" s="657">
        <f t="shared" si="0"/>
        <v>0.25</v>
      </c>
      <c r="AF14" s="673" t="s">
        <v>229</v>
      </c>
      <c r="AG14" s="657">
        <f t="shared" si="3"/>
        <v>0.15</v>
      </c>
      <c r="AH14" s="657">
        <f t="shared" si="4"/>
        <v>0.4</v>
      </c>
      <c r="AI14" s="110"/>
      <c r="AJ14" s="673" t="s">
        <v>24</v>
      </c>
      <c r="AK14" s="673" t="s">
        <v>840</v>
      </c>
      <c r="AL14" s="648">
        <f>+AM13*AH14</f>
        <v>7.1999999999999995E-2</v>
      </c>
      <c r="AM14" s="648">
        <f>+AM13-AL14</f>
        <v>0.108</v>
      </c>
      <c r="AN14" s="822"/>
      <c r="AO14" s="827"/>
      <c r="AP14" s="110">
        <v>3</v>
      </c>
      <c r="AQ14" s="675" t="s">
        <v>841</v>
      </c>
      <c r="AR14" s="675" t="s">
        <v>842</v>
      </c>
      <c r="AS14" s="267">
        <v>45658</v>
      </c>
      <c r="AT14" s="267">
        <v>46022</v>
      </c>
      <c r="AU14" s="675" t="s">
        <v>840</v>
      </c>
      <c r="AV14" s="110"/>
      <c r="AW14" s="110"/>
      <c r="AX14" s="110"/>
      <c r="AY14" s="110"/>
      <c r="AZ14" s="110"/>
      <c r="BA14" s="110"/>
      <c r="BB14" s="110"/>
      <c r="BC14" s="110"/>
      <c r="BD14" s="110"/>
      <c r="BE14" s="110"/>
      <c r="BF14" s="110"/>
      <c r="BG14" s="110"/>
    </row>
    <row r="15" spans="1:59" ht="153.75" customHeight="1" thickBot="1">
      <c r="A15" s="894" t="s">
        <v>51</v>
      </c>
      <c r="B15" s="967" t="s">
        <v>102</v>
      </c>
      <c r="C15" s="967" t="s">
        <v>92</v>
      </c>
      <c r="D15" s="967" t="s">
        <v>79</v>
      </c>
      <c r="E15" s="967" t="s">
        <v>36</v>
      </c>
      <c r="F15" s="975" t="s">
        <v>843</v>
      </c>
      <c r="G15" s="975" t="s">
        <v>844</v>
      </c>
      <c r="H15" s="975" t="s">
        <v>845</v>
      </c>
      <c r="I15" s="975" t="s">
        <v>846</v>
      </c>
      <c r="J15" s="967" t="s">
        <v>95</v>
      </c>
      <c r="K15" s="967">
        <v>1</v>
      </c>
      <c r="L15" s="953">
        <f t="shared" si="5"/>
        <v>0.5</v>
      </c>
      <c r="M15" s="967" t="s">
        <v>63</v>
      </c>
      <c r="N15" s="667">
        <f t="shared" si="6"/>
        <v>0.6</v>
      </c>
      <c r="O15" s="967" t="s">
        <v>48</v>
      </c>
      <c r="P15" s="953">
        <f t="shared" si="7"/>
        <v>0.4</v>
      </c>
      <c r="Q15" s="967" t="s">
        <v>73</v>
      </c>
      <c r="R15" s="953">
        <f t="shared" si="8"/>
        <v>0</v>
      </c>
      <c r="S15" s="1062" t="s">
        <v>60</v>
      </c>
      <c r="T15" s="1062" t="s">
        <v>61</v>
      </c>
      <c r="U15" s="953">
        <f t="shared" si="1"/>
        <v>0.6</v>
      </c>
      <c r="V15" s="912" t="str">
        <f t="shared" si="9"/>
        <v>Media</v>
      </c>
      <c r="W15" s="953">
        <f>+IFERROR(VLOOKUP(V15,formulas!$F$1:$G$6,2,FALSE),"")</f>
        <v>0.6</v>
      </c>
      <c r="X15" s="820" t="str">
        <f t="shared" si="10"/>
        <v>Moderado</v>
      </c>
      <c r="Y15" s="953">
        <f>+IFERROR(VLOOKUP(X15,formulas!$H$1:$I$6,2,FALSE),"")</f>
        <v>0.6</v>
      </c>
      <c r="Z15" s="820" t="str">
        <f>+IFERROR(VLOOKUP(V15&amp;X15,formulas!$C$2:$D$26,2,FALSE),"")</f>
        <v>Moderado</v>
      </c>
      <c r="AA15" s="953">
        <f t="shared" si="2"/>
        <v>0.5</v>
      </c>
      <c r="AB15" s="1059"/>
      <c r="AC15" s="677" t="str">
        <f>+AC7</f>
        <v xml:space="preserve">Para la elaboración anual del plan de capacitación, el jefe de la unidad de Talento Humano debe identificar y consolidar informe de las necesidades de capacitación de los servidores de cada una de las áreas funcionales, este informe servirá como insumo para proyectar el plan de capacitaciones, el cual deberá ser revisado y aprobado por el Comité Institucional de Gestión y Desempeño. 
De igual manera, para la elaboración del Plan de bienestar, el jefe de la unidad de Talento Humano debe identificar y consolidar informe de las necesidades y expectativas de bienestar que tengan los servidores de cada una de las áreas funcionales, este informe servirá como insumo para proyectar el plan de bienestar, el cual deberá ser revisado y aprobado por el Comité de Bienestar institucional.
Una vez aprobados los planes de Capacitación y de bienestar se deben socializar y publicar en la página Web de la entidad, esta publicación debe realizarse antes del 28 de febrero de cada vigencia.
Nota: La aprobación de los planes de Capacitación y Bienestar de la vigencia, estarán sujetos a la pertinencia, alcance y cubrimiento de cada necesidad y al tope de recursos asignados.
Cada una de las necesidades identificadas deben ser justificadas con el fin de analizar su viabilidad. Así mismo se deben justificar los rechazos o ajustes a las necesidades.
Los soportes de ejecución de este control son informes de necesidades establecidas, planes de capacitación y bienestar aprobados y publicados en la página Web de la Entidad.
</v>
      </c>
      <c r="AD15" s="677" t="s">
        <v>57</v>
      </c>
      <c r="AE15" s="667">
        <f t="shared" si="0"/>
        <v>0.25</v>
      </c>
      <c r="AF15" s="677" t="s">
        <v>229</v>
      </c>
      <c r="AG15" s="667">
        <f t="shared" si="3"/>
        <v>0.15</v>
      </c>
      <c r="AH15" s="667">
        <f t="shared" si="4"/>
        <v>0.4</v>
      </c>
      <c r="AI15" s="276"/>
      <c r="AJ15" s="677" t="s">
        <v>24</v>
      </c>
      <c r="AK15" s="677" t="s">
        <v>847</v>
      </c>
      <c r="AL15" s="690">
        <f t="shared" si="11"/>
        <v>0.2</v>
      </c>
      <c r="AM15" s="690">
        <f t="shared" si="12"/>
        <v>0.3</v>
      </c>
      <c r="AN15" s="820" t="str">
        <f>+IF(C15="Corrupción","Moderado",IF(AM16&lt;=25%,"Bajo",IF(AM16&lt;=50%,"Moderado",IF(AM16&lt;=75%,"Alto",IF(AM16&gt;75%,"Extremo","")))))</f>
        <v>Bajo</v>
      </c>
      <c r="AO15" s="826" t="s">
        <v>59</v>
      </c>
      <c r="AP15" s="276">
        <v>1</v>
      </c>
      <c r="AQ15" s="272"/>
      <c r="AR15" s="674" t="s">
        <v>807</v>
      </c>
      <c r="AS15" s="271">
        <v>45658</v>
      </c>
      <c r="AT15" s="271">
        <v>46021</v>
      </c>
      <c r="AU15" s="272" t="s">
        <v>293</v>
      </c>
      <c r="AV15" s="276"/>
      <c r="AW15" s="276"/>
      <c r="AX15" s="276"/>
      <c r="AY15" s="276"/>
      <c r="AZ15" s="276"/>
      <c r="BA15" s="276"/>
      <c r="BB15" s="276"/>
      <c r="BC15" s="276"/>
      <c r="BD15" s="276"/>
      <c r="BE15" s="276"/>
      <c r="BF15" s="276"/>
      <c r="BG15" s="276"/>
    </row>
    <row r="16" spans="1:59" ht="153.75" customHeight="1" thickBot="1">
      <c r="A16" s="895"/>
      <c r="B16" s="969"/>
      <c r="C16" s="969"/>
      <c r="D16" s="969"/>
      <c r="E16" s="969"/>
      <c r="F16" s="977"/>
      <c r="G16" s="977"/>
      <c r="H16" s="977"/>
      <c r="I16" s="977"/>
      <c r="J16" s="969"/>
      <c r="K16" s="969"/>
      <c r="L16" s="927"/>
      <c r="M16" s="969"/>
      <c r="N16" s="657" t="str">
        <f t="shared" si="6"/>
        <v/>
      </c>
      <c r="O16" s="969"/>
      <c r="P16" s="927"/>
      <c r="Q16" s="969"/>
      <c r="R16" s="927"/>
      <c r="S16" s="1063"/>
      <c r="T16" s="1063"/>
      <c r="U16" s="927">
        <f t="shared" si="1"/>
        <v>0</v>
      </c>
      <c r="V16" s="1045"/>
      <c r="W16" s="1051" t="str">
        <f>+IFERROR(VLOOKUP(V16,formulas!$F$1:$G$6,2,FALSE),"")</f>
        <v/>
      </c>
      <c r="X16" s="822"/>
      <c r="Y16" s="927" t="str">
        <f>+IFERROR(VLOOKUP(X16,formulas!$H$1:$I$6,2,FALSE),"")</f>
        <v/>
      </c>
      <c r="Z16" s="822"/>
      <c r="AA16" s="927" t="str">
        <f t="shared" si="2"/>
        <v/>
      </c>
      <c r="AB16" s="1060"/>
      <c r="AC16" s="699" t="s">
        <v>848</v>
      </c>
      <c r="AD16" s="673" t="s">
        <v>39</v>
      </c>
      <c r="AE16" s="657">
        <f t="shared" si="0"/>
        <v>0.15</v>
      </c>
      <c r="AF16" s="673" t="s">
        <v>229</v>
      </c>
      <c r="AG16" s="657">
        <f t="shared" si="3"/>
        <v>0.15</v>
      </c>
      <c r="AH16" s="657">
        <f t="shared" si="4"/>
        <v>0.3</v>
      </c>
      <c r="AI16" s="110"/>
      <c r="AJ16" s="673" t="s">
        <v>24</v>
      </c>
      <c r="AK16" s="673" t="s">
        <v>849</v>
      </c>
      <c r="AL16" s="648">
        <f>+AM15*AH16</f>
        <v>0.09</v>
      </c>
      <c r="AM16" s="648">
        <f>+AM15-AL16</f>
        <v>0.21</v>
      </c>
      <c r="AN16" s="822"/>
      <c r="AO16" s="827"/>
      <c r="AP16" s="110">
        <v>2</v>
      </c>
      <c r="AQ16" s="673" t="s">
        <v>850</v>
      </c>
      <c r="AR16" s="675" t="s">
        <v>807</v>
      </c>
      <c r="AS16" s="267">
        <v>45658</v>
      </c>
      <c r="AT16" s="267">
        <v>46021</v>
      </c>
      <c r="AU16" s="673" t="s">
        <v>851</v>
      </c>
      <c r="AV16" s="110"/>
      <c r="AW16" s="110"/>
      <c r="AX16" s="110"/>
      <c r="AY16" s="110"/>
      <c r="AZ16" s="110"/>
      <c r="BA16" s="110"/>
      <c r="BB16" s="110"/>
      <c r="BC16" s="110"/>
      <c r="BD16" s="110"/>
      <c r="BE16" s="110"/>
      <c r="BF16" s="110"/>
      <c r="BG16" s="110"/>
    </row>
    <row r="17" spans="1:59" ht="87.6" customHeight="1">
      <c r="A17" s="894" t="s">
        <v>51</v>
      </c>
      <c r="B17" s="967" t="s">
        <v>102</v>
      </c>
      <c r="C17" s="967" t="s">
        <v>152</v>
      </c>
      <c r="D17" s="967" t="s">
        <v>12</v>
      </c>
      <c r="E17" s="967" t="s">
        <v>36</v>
      </c>
      <c r="F17" s="975" t="s">
        <v>852</v>
      </c>
      <c r="G17" s="975" t="s">
        <v>853</v>
      </c>
      <c r="H17" s="975" t="s">
        <v>854</v>
      </c>
      <c r="I17" s="975" t="s">
        <v>855</v>
      </c>
      <c r="J17" s="967" t="s">
        <v>66</v>
      </c>
      <c r="K17" s="967">
        <v>0</v>
      </c>
      <c r="L17" s="953">
        <f t="shared" si="5"/>
        <v>0</v>
      </c>
      <c r="M17" s="967" t="s">
        <v>30</v>
      </c>
      <c r="N17" s="953">
        <f t="shared" si="6"/>
        <v>0.2</v>
      </c>
      <c r="O17" s="967" t="s">
        <v>73</v>
      </c>
      <c r="P17" s="953">
        <f t="shared" si="7"/>
        <v>0</v>
      </c>
      <c r="Q17" s="967" t="s">
        <v>73</v>
      </c>
      <c r="R17" s="953">
        <f t="shared" si="8"/>
        <v>0</v>
      </c>
      <c r="S17" s="1062" t="s">
        <v>72</v>
      </c>
      <c r="T17" s="1062" t="s">
        <v>61</v>
      </c>
      <c r="U17" s="953">
        <f t="shared" si="1"/>
        <v>0.2</v>
      </c>
      <c r="V17" s="912" t="str">
        <f t="shared" si="9"/>
        <v>Muy baja</v>
      </c>
      <c r="W17" s="953">
        <f>+IFERROR(VLOOKUP(V17,formulas!$F$1:$G$6,2,FALSE),"")</f>
        <v>0.2</v>
      </c>
      <c r="X17" s="820" t="str">
        <f t="shared" si="10"/>
        <v>Leve</v>
      </c>
      <c r="Y17" s="953">
        <f>+IFERROR(VLOOKUP(X17,formulas!$H$1:$I$6,2,FALSE),"")</f>
        <v>0.2</v>
      </c>
      <c r="Z17" s="820" t="str">
        <f>+IFERROR(VLOOKUP(V17&amp;X17,formulas!$C$2:$D$26,2,FALSE),"")</f>
        <v>Bajo</v>
      </c>
      <c r="AA17" s="953">
        <f t="shared" si="2"/>
        <v>0.25</v>
      </c>
      <c r="AB17" s="1056" t="s">
        <v>856</v>
      </c>
      <c r="AC17" s="677" t="s">
        <v>857</v>
      </c>
      <c r="AD17" s="677" t="s">
        <v>57</v>
      </c>
      <c r="AE17" s="667">
        <f t="shared" si="0"/>
        <v>0.25</v>
      </c>
      <c r="AF17" s="677" t="s">
        <v>229</v>
      </c>
      <c r="AG17" s="667">
        <f t="shared" si="3"/>
        <v>0.15</v>
      </c>
      <c r="AH17" s="667">
        <f t="shared" si="4"/>
        <v>0.4</v>
      </c>
      <c r="AI17" s="276"/>
      <c r="AJ17" s="677" t="s">
        <v>24</v>
      </c>
      <c r="AK17" s="699" t="s">
        <v>858</v>
      </c>
      <c r="AL17" s="690">
        <f t="shared" si="11"/>
        <v>0.1</v>
      </c>
      <c r="AM17" s="690">
        <f t="shared" si="12"/>
        <v>0.15</v>
      </c>
      <c r="AN17" s="820" t="str">
        <f>+IF(C17="Corrupción","Moderado",IF(AM19&lt;=25%,"Bajo",IF(AM19&lt;=50%,"Moderado",IF(AM19&lt;=75%,"Alto",IF(AM19&gt;75%,"Extremo","")))))</f>
        <v>Bajo</v>
      </c>
      <c r="AO17" s="826" t="s">
        <v>59</v>
      </c>
      <c r="AP17" s="276">
        <v>1</v>
      </c>
      <c r="AQ17" s="508"/>
      <c r="AR17" s="674"/>
      <c r="AS17" s="271"/>
      <c r="AT17" s="271"/>
      <c r="AU17" s="272"/>
      <c r="AV17" s="276"/>
      <c r="AW17" s="276"/>
      <c r="AX17" s="276"/>
      <c r="AY17" s="276"/>
      <c r="AZ17" s="276"/>
      <c r="BA17" s="276"/>
      <c r="BB17" s="276"/>
      <c r="BC17" s="276"/>
      <c r="BD17" s="276"/>
      <c r="BE17" s="276"/>
      <c r="BF17" s="276"/>
      <c r="BG17" s="276"/>
    </row>
    <row r="18" spans="1:59" ht="87.6" customHeight="1">
      <c r="A18" s="903"/>
      <c r="B18" s="968"/>
      <c r="C18" s="968"/>
      <c r="D18" s="968"/>
      <c r="E18" s="968"/>
      <c r="F18" s="976"/>
      <c r="G18" s="976"/>
      <c r="H18" s="976"/>
      <c r="I18" s="976"/>
      <c r="J18" s="968"/>
      <c r="K18" s="968"/>
      <c r="L18" s="926"/>
      <c r="M18" s="968"/>
      <c r="N18" s="926"/>
      <c r="O18" s="968"/>
      <c r="P18" s="926"/>
      <c r="Q18" s="968"/>
      <c r="R18" s="926"/>
      <c r="S18" s="1064"/>
      <c r="T18" s="1064"/>
      <c r="U18" s="926"/>
      <c r="V18" s="915"/>
      <c r="W18" s="926"/>
      <c r="X18" s="821"/>
      <c r="Y18" s="926"/>
      <c r="Z18" s="821"/>
      <c r="AA18" s="926"/>
      <c r="AB18" s="1057"/>
      <c r="AC18" s="672" t="s">
        <v>859</v>
      </c>
      <c r="AD18" s="672" t="s">
        <v>57</v>
      </c>
      <c r="AE18" s="656">
        <f t="shared" si="0"/>
        <v>0.25</v>
      </c>
      <c r="AF18" s="672" t="s">
        <v>229</v>
      </c>
      <c r="AG18" s="656">
        <f t="shared" si="3"/>
        <v>0.15</v>
      </c>
      <c r="AH18" s="656">
        <f t="shared" si="4"/>
        <v>0.4</v>
      </c>
      <c r="AI18" s="59"/>
      <c r="AJ18" s="672" t="s">
        <v>41</v>
      </c>
      <c r="AK18" s="672"/>
      <c r="AL18" s="647">
        <f>+AM17*AH18</f>
        <v>0.06</v>
      </c>
      <c r="AM18" s="647">
        <f>+AM17-AL18</f>
        <v>0.09</v>
      </c>
      <c r="AN18" s="821"/>
      <c r="AO18" s="831"/>
      <c r="AP18" s="59">
        <v>2</v>
      </c>
      <c r="AQ18" s="277"/>
      <c r="AR18" s="681"/>
      <c r="AS18" s="55"/>
      <c r="AT18" s="55"/>
      <c r="AU18" s="56"/>
      <c r="AV18" s="59"/>
      <c r="AW18" s="59"/>
      <c r="AX18" s="59"/>
      <c r="AY18" s="59"/>
      <c r="AZ18" s="59"/>
      <c r="BA18" s="59"/>
      <c r="BB18" s="59"/>
      <c r="BC18" s="59"/>
      <c r="BD18" s="59"/>
      <c r="BE18" s="59"/>
      <c r="BF18" s="59"/>
      <c r="BG18" s="59"/>
    </row>
    <row r="19" spans="1:59" ht="87.6" customHeight="1" thickBot="1">
      <c r="A19" s="895"/>
      <c r="B19" s="969"/>
      <c r="C19" s="969"/>
      <c r="D19" s="969"/>
      <c r="E19" s="969"/>
      <c r="F19" s="977"/>
      <c r="G19" s="977"/>
      <c r="H19" s="977"/>
      <c r="I19" s="977"/>
      <c r="J19" s="969"/>
      <c r="K19" s="969"/>
      <c r="L19" s="927"/>
      <c r="M19" s="969"/>
      <c r="N19" s="927"/>
      <c r="O19" s="969"/>
      <c r="P19" s="927"/>
      <c r="Q19" s="969"/>
      <c r="R19" s="927"/>
      <c r="S19" s="1063"/>
      <c r="T19" s="1063"/>
      <c r="U19" s="927"/>
      <c r="V19" s="1045"/>
      <c r="W19" s="927"/>
      <c r="X19" s="822"/>
      <c r="Y19" s="927"/>
      <c r="Z19" s="822"/>
      <c r="AA19" s="927"/>
      <c r="AB19" s="1058"/>
      <c r="AC19" s="673" t="s">
        <v>860</v>
      </c>
      <c r="AD19" s="673" t="s">
        <v>57</v>
      </c>
      <c r="AE19" s="657">
        <f t="shared" si="0"/>
        <v>0.25</v>
      </c>
      <c r="AF19" s="673" t="s">
        <v>229</v>
      </c>
      <c r="AG19" s="657">
        <f t="shared" si="3"/>
        <v>0.15</v>
      </c>
      <c r="AH19" s="657">
        <f t="shared" si="4"/>
        <v>0.4</v>
      </c>
      <c r="AI19" s="110"/>
      <c r="AJ19" s="673" t="s">
        <v>41</v>
      </c>
      <c r="AK19" s="673"/>
      <c r="AL19" s="648">
        <f>+AM18*AH19</f>
        <v>3.5999999999999997E-2</v>
      </c>
      <c r="AM19" s="648">
        <f>+AM18-AL19</f>
        <v>5.3999999999999999E-2</v>
      </c>
      <c r="AN19" s="822"/>
      <c r="AO19" s="827"/>
      <c r="AP19" s="110">
        <v>3</v>
      </c>
      <c r="AQ19" s="509"/>
      <c r="AR19" s="675"/>
      <c r="AS19" s="267"/>
      <c r="AT19" s="267"/>
      <c r="AU19" s="510"/>
      <c r="AV19" s="110"/>
      <c r="AW19" s="110"/>
      <c r="AX19" s="110"/>
      <c r="AY19" s="110"/>
      <c r="AZ19" s="110"/>
      <c r="BA19" s="110"/>
      <c r="BB19" s="110"/>
      <c r="BC19" s="110"/>
      <c r="BD19" s="110"/>
      <c r="BE19" s="110"/>
      <c r="BF19" s="110"/>
      <c r="BG19" s="110"/>
    </row>
    <row r="20" spans="1:59" ht="87.6" customHeight="1" thickBot="1">
      <c r="A20" s="123" t="s">
        <v>51</v>
      </c>
      <c r="B20" s="124" t="s">
        <v>102</v>
      </c>
      <c r="C20" s="124" t="s">
        <v>58</v>
      </c>
      <c r="D20" s="124" t="s">
        <v>79</v>
      </c>
      <c r="E20" s="124" t="s">
        <v>36</v>
      </c>
      <c r="F20" s="134" t="s">
        <v>294</v>
      </c>
      <c r="G20" s="134" t="s">
        <v>295</v>
      </c>
      <c r="H20" s="134" t="s">
        <v>296</v>
      </c>
      <c r="I20" s="134" t="s">
        <v>297</v>
      </c>
      <c r="J20" s="124" t="s">
        <v>33</v>
      </c>
      <c r="K20" s="124">
        <v>0</v>
      </c>
      <c r="L20" s="173">
        <f t="shared" si="5"/>
        <v>0</v>
      </c>
      <c r="M20" s="124" t="s">
        <v>73</v>
      </c>
      <c r="N20" s="173">
        <f t="shared" si="6"/>
        <v>0</v>
      </c>
      <c r="O20" s="124" t="s">
        <v>31</v>
      </c>
      <c r="P20" s="173">
        <f t="shared" si="7"/>
        <v>0.2</v>
      </c>
      <c r="Q20" s="124" t="s">
        <v>73</v>
      </c>
      <c r="R20" s="173">
        <f t="shared" si="8"/>
        <v>0</v>
      </c>
      <c r="S20" s="127" t="s">
        <v>73</v>
      </c>
      <c r="T20" s="127" t="s">
        <v>61</v>
      </c>
      <c r="U20" s="173">
        <f t="shared" si="1"/>
        <v>0.2</v>
      </c>
      <c r="V20" s="419" t="str">
        <f t="shared" si="9"/>
        <v>Muy baja</v>
      </c>
      <c r="W20" s="173">
        <f>+IFERROR(VLOOKUP(V20,formulas!$F$1:$G$6,2,FALSE),"")</f>
        <v>0.2</v>
      </c>
      <c r="X20" s="630" t="str">
        <f t="shared" si="10"/>
        <v>Leve</v>
      </c>
      <c r="Y20" s="173">
        <f>+IFERROR(VLOOKUP(X20,formulas!$H$1:$I$6,2,FALSE),"")</f>
        <v>0.2</v>
      </c>
      <c r="Z20" s="630" t="str">
        <f>+IFERROR(VLOOKUP(V20&amp;X20,formulas!$C$2:$D$26,2,FALSE),"")</f>
        <v>Bajo</v>
      </c>
      <c r="AA20" s="173">
        <f t="shared" si="2"/>
        <v>0.25</v>
      </c>
      <c r="AB20" s="511"/>
      <c r="AC20" s="673" t="s">
        <v>861</v>
      </c>
      <c r="AD20" s="124" t="s">
        <v>57</v>
      </c>
      <c r="AE20" s="173">
        <f t="shared" si="0"/>
        <v>0.25</v>
      </c>
      <c r="AF20" s="124" t="s">
        <v>229</v>
      </c>
      <c r="AG20" s="173">
        <f t="shared" si="3"/>
        <v>0.15</v>
      </c>
      <c r="AH20" s="173">
        <f t="shared" si="4"/>
        <v>0.4</v>
      </c>
      <c r="AI20" s="189"/>
      <c r="AJ20" s="124" t="s">
        <v>41</v>
      </c>
      <c r="AK20" s="124"/>
      <c r="AL20" s="205">
        <f t="shared" si="11"/>
        <v>0.1</v>
      </c>
      <c r="AM20" s="205">
        <f t="shared" si="12"/>
        <v>0.15</v>
      </c>
      <c r="AN20" s="630" t="str">
        <f>+IF(C20="Corrupción","Moderado",IF(AM20&lt;=25%,"Bajo",IF(AM20&lt;=50%,"Moderado",IF(AM20&lt;=75%,"Alto",IF(AM20&gt;75%,"Extremo","")))))</f>
        <v>Moderado</v>
      </c>
      <c r="AO20" s="174" t="s">
        <v>59</v>
      </c>
      <c r="AP20" s="189">
        <v>1</v>
      </c>
      <c r="AQ20" s="275" t="s">
        <v>862</v>
      </c>
      <c r="AR20" s="134" t="s">
        <v>807</v>
      </c>
      <c r="AS20" s="274">
        <v>45901</v>
      </c>
      <c r="AT20" s="274">
        <v>46021</v>
      </c>
      <c r="AU20" s="275" t="s">
        <v>863</v>
      </c>
      <c r="AV20" s="189"/>
      <c r="AW20" s="189"/>
      <c r="AX20" s="189"/>
      <c r="AY20" s="189"/>
      <c r="AZ20" s="189"/>
      <c r="BA20" s="189"/>
      <c r="BB20" s="189"/>
      <c r="BC20" s="189"/>
      <c r="BD20" s="189"/>
      <c r="BE20" s="189"/>
      <c r="BF20" s="189"/>
      <c r="BG20" s="189"/>
    </row>
    <row r="21" spans="1:59" ht="87.6" customHeight="1">
      <c r="A21" s="894" t="s">
        <v>51</v>
      </c>
      <c r="B21" s="967" t="s">
        <v>102</v>
      </c>
      <c r="C21" s="967" t="s">
        <v>58</v>
      </c>
      <c r="D21" s="967" t="s">
        <v>79</v>
      </c>
      <c r="E21" s="967" t="s">
        <v>36</v>
      </c>
      <c r="F21" s="975" t="s">
        <v>300</v>
      </c>
      <c r="G21" s="975" t="s">
        <v>301</v>
      </c>
      <c r="H21" s="975" t="s">
        <v>302</v>
      </c>
      <c r="I21" s="975" t="s">
        <v>303</v>
      </c>
      <c r="J21" s="967" t="s">
        <v>66</v>
      </c>
      <c r="K21" s="967">
        <v>0</v>
      </c>
      <c r="L21" s="953">
        <f t="shared" si="5"/>
        <v>0</v>
      </c>
      <c r="M21" s="967" t="s">
        <v>30</v>
      </c>
      <c r="N21" s="953">
        <f t="shared" si="6"/>
        <v>0.2</v>
      </c>
      <c r="O21" s="967" t="s">
        <v>48</v>
      </c>
      <c r="P21" s="953">
        <f t="shared" si="7"/>
        <v>0.4</v>
      </c>
      <c r="Q21" s="967" t="s">
        <v>73</v>
      </c>
      <c r="R21" s="953">
        <f t="shared" si="8"/>
        <v>0</v>
      </c>
      <c r="S21" s="1062" t="s">
        <v>73</v>
      </c>
      <c r="T21" s="1062" t="s">
        <v>61</v>
      </c>
      <c r="U21" s="953">
        <f t="shared" si="1"/>
        <v>0.4</v>
      </c>
      <c r="V21" s="912" t="str">
        <f t="shared" si="9"/>
        <v>Muy baja</v>
      </c>
      <c r="W21" s="953">
        <f>+IFERROR(VLOOKUP(V21,formulas!$F$1:$G$6,2,FALSE),"")</f>
        <v>0.2</v>
      </c>
      <c r="X21" s="820" t="str">
        <f t="shared" si="10"/>
        <v>Menor</v>
      </c>
      <c r="Y21" s="953">
        <f>+IFERROR(VLOOKUP(X21,formulas!$H$1:$I$6,2,FALSE),"")</f>
        <v>0.4</v>
      </c>
      <c r="Z21" s="820" t="str">
        <f>+IFERROR(VLOOKUP(V21&amp;X21,formulas!$C$2:$D$26,2,FALSE),"")</f>
        <v>Bajo</v>
      </c>
      <c r="AA21" s="953">
        <f t="shared" si="2"/>
        <v>0.25</v>
      </c>
      <c r="AB21" s="1059"/>
      <c r="AC21" s="677" t="s">
        <v>857</v>
      </c>
      <c r="AD21" s="677" t="s">
        <v>57</v>
      </c>
      <c r="AE21" s="667">
        <f t="shared" si="0"/>
        <v>0.25</v>
      </c>
      <c r="AF21" s="677" t="s">
        <v>229</v>
      </c>
      <c r="AG21" s="667">
        <f t="shared" si="3"/>
        <v>0.15</v>
      </c>
      <c r="AH21" s="667">
        <f t="shared" si="4"/>
        <v>0.4</v>
      </c>
      <c r="AI21" s="276"/>
      <c r="AJ21" s="677" t="s">
        <v>24</v>
      </c>
      <c r="AK21" s="677" t="s">
        <v>306</v>
      </c>
      <c r="AL21" s="690">
        <f t="shared" si="11"/>
        <v>0.1</v>
      </c>
      <c r="AM21" s="690">
        <f t="shared" si="12"/>
        <v>0.15</v>
      </c>
      <c r="AN21" s="820" t="str">
        <f>+IF(C21="Corrupción","Moderado",IF(AM22&lt;=25%,"Bajo",IF(AM22&lt;=50%,"Moderado",IF(AM22&lt;=75%,"Alto",IF(AM22&gt;75%,"Extremo","")))))</f>
        <v>Moderado</v>
      </c>
      <c r="AO21" s="826" t="s">
        <v>59</v>
      </c>
      <c r="AP21" s="276">
        <v>1</v>
      </c>
      <c r="AQ21" s="272"/>
      <c r="AR21" s="674"/>
      <c r="AS21" s="271"/>
      <c r="AT21" s="271"/>
      <c r="AU21" s="272"/>
      <c r="AV21" s="276"/>
      <c r="AW21" s="276"/>
      <c r="AX21" s="276"/>
      <c r="AY21" s="276"/>
      <c r="AZ21" s="276"/>
      <c r="BA21" s="276"/>
      <c r="BB21" s="276"/>
      <c r="BC21" s="276"/>
      <c r="BD21" s="276"/>
      <c r="BE21" s="276"/>
      <c r="BF21" s="276"/>
      <c r="BG21" s="276"/>
    </row>
    <row r="22" spans="1:59" ht="87.6" customHeight="1" thickBot="1">
      <c r="A22" s="895"/>
      <c r="B22" s="969"/>
      <c r="C22" s="969"/>
      <c r="D22" s="969"/>
      <c r="E22" s="969"/>
      <c r="F22" s="977"/>
      <c r="G22" s="977"/>
      <c r="H22" s="977"/>
      <c r="I22" s="977"/>
      <c r="J22" s="969"/>
      <c r="K22" s="969"/>
      <c r="L22" s="927"/>
      <c r="M22" s="969"/>
      <c r="N22" s="927"/>
      <c r="O22" s="969"/>
      <c r="P22" s="927"/>
      <c r="Q22" s="969"/>
      <c r="R22" s="927"/>
      <c r="S22" s="1063"/>
      <c r="T22" s="1063"/>
      <c r="U22" s="927">
        <f t="shared" si="1"/>
        <v>0</v>
      </c>
      <c r="V22" s="1045"/>
      <c r="W22" s="1051" t="str">
        <f>+IFERROR(VLOOKUP(V22,formulas!$F$1:$G$6,2,FALSE),"")</f>
        <v/>
      </c>
      <c r="X22" s="822"/>
      <c r="Y22" s="927" t="str">
        <f>+IFERROR(VLOOKUP(X22,formulas!$H$1:$I$6,2,FALSE),"")</f>
        <v/>
      </c>
      <c r="Z22" s="822"/>
      <c r="AA22" s="927" t="str">
        <f t="shared" si="2"/>
        <v/>
      </c>
      <c r="AB22" s="1060"/>
      <c r="AC22" s="673" t="s">
        <v>859</v>
      </c>
      <c r="AD22" s="673" t="s">
        <v>57</v>
      </c>
      <c r="AE22" s="657">
        <f t="shared" si="0"/>
        <v>0.25</v>
      </c>
      <c r="AF22" s="673" t="s">
        <v>229</v>
      </c>
      <c r="AG22" s="657">
        <f t="shared" si="3"/>
        <v>0.15</v>
      </c>
      <c r="AH22" s="657">
        <f t="shared" si="4"/>
        <v>0.4</v>
      </c>
      <c r="AI22" s="110"/>
      <c r="AJ22" s="673" t="s">
        <v>41</v>
      </c>
      <c r="AK22" s="673"/>
      <c r="AL22" s="648">
        <f>+AM21*AH22</f>
        <v>0.06</v>
      </c>
      <c r="AM22" s="648">
        <f>+AM21-AL22</f>
        <v>0.09</v>
      </c>
      <c r="AN22" s="822"/>
      <c r="AO22" s="827"/>
      <c r="AP22" s="110">
        <v>2</v>
      </c>
      <c r="AQ22" s="673"/>
      <c r="AR22" s="675"/>
      <c r="AS22" s="267"/>
      <c r="AT22" s="267"/>
      <c r="AU22" s="673"/>
      <c r="AV22" s="110"/>
      <c r="AW22" s="110"/>
      <c r="AX22" s="110"/>
      <c r="AY22" s="110"/>
      <c r="AZ22" s="110"/>
      <c r="BA22" s="110"/>
      <c r="BB22" s="110"/>
      <c r="BC22" s="110"/>
      <c r="BD22" s="110"/>
      <c r="BE22" s="110"/>
      <c r="BF22" s="110"/>
      <c r="BG22" s="110"/>
    </row>
    <row r="23" spans="1:59" ht="87.6" customHeight="1" thickBot="1">
      <c r="A23" s="123" t="s">
        <v>51</v>
      </c>
      <c r="B23" s="124" t="s">
        <v>102</v>
      </c>
      <c r="C23" s="124" t="s">
        <v>58</v>
      </c>
      <c r="D23" s="124" t="s">
        <v>79</v>
      </c>
      <c r="E23" s="124" t="s">
        <v>36</v>
      </c>
      <c r="F23" s="134" t="s">
        <v>310</v>
      </c>
      <c r="G23" s="134" t="s">
        <v>311</v>
      </c>
      <c r="H23" s="134" t="s">
        <v>312</v>
      </c>
      <c r="I23" s="134" t="s">
        <v>313</v>
      </c>
      <c r="J23" s="124" t="s">
        <v>33</v>
      </c>
      <c r="K23" s="124">
        <v>0</v>
      </c>
      <c r="L23" s="173">
        <f t="shared" si="5"/>
        <v>0</v>
      </c>
      <c r="M23" s="124" t="s">
        <v>73</v>
      </c>
      <c r="N23" s="173">
        <f t="shared" si="6"/>
        <v>0</v>
      </c>
      <c r="O23" s="124" t="s">
        <v>31</v>
      </c>
      <c r="P23" s="173">
        <f t="shared" si="7"/>
        <v>0.2</v>
      </c>
      <c r="Q23" s="124" t="s">
        <v>73</v>
      </c>
      <c r="R23" s="173">
        <f t="shared" si="8"/>
        <v>0</v>
      </c>
      <c r="S23" s="127" t="s">
        <v>73</v>
      </c>
      <c r="T23" s="127" t="s">
        <v>61</v>
      </c>
      <c r="U23" s="173">
        <f t="shared" si="1"/>
        <v>0.2</v>
      </c>
      <c r="V23" s="419" t="str">
        <f t="shared" si="9"/>
        <v>Muy baja</v>
      </c>
      <c r="W23" s="173">
        <f>+IFERROR(VLOOKUP(V23,formulas!$F$1:$G$6,2,FALSE),"")</f>
        <v>0.2</v>
      </c>
      <c r="X23" s="630" t="str">
        <f t="shared" si="10"/>
        <v>Leve</v>
      </c>
      <c r="Y23" s="173">
        <f>+IFERROR(VLOOKUP(X23,formulas!$H$1:$I$6,2,FALSE),"")</f>
        <v>0.2</v>
      </c>
      <c r="Z23" s="630" t="str">
        <f>+IFERROR(VLOOKUP(V23&amp;X23,formulas!$C$2:$D$26,2,FALSE),"")</f>
        <v>Bajo</v>
      </c>
      <c r="AA23" s="173">
        <f t="shared" si="2"/>
        <v>0.25</v>
      </c>
      <c r="AB23" s="511"/>
      <c r="AC23" s="124" t="s">
        <v>864</v>
      </c>
      <c r="AD23" s="124" t="s">
        <v>57</v>
      </c>
      <c r="AE23" s="173">
        <f t="shared" si="0"/>
        <v>0.25</v>
      </c>
      <c r="AF23" s="124" t="s">
        <v>229</v>
      </c>
      <c r="AG23" s="173">
        <f t="shared" si="3"/>
        <v>0.15</v>
      </c>
      <c r="AH23" s="173">
        <f t="shared" si="4"/>
        <v>0.4</v>
      </c>
      <c r="AI23" s="189"/>
      <c r="AJ23" s="124" t="s">
        <v>41</v>
      </c>
      <c r="AK23" s="124"/>
      <c r="AL23" s="205">
        <f>+AA23*AH23</f>
        <v>0.1</v>
      </c>
      <c r="AM23" s="205">
        <f t="shared" si="12"/>
        <v>0.15</v>
      </c>
      <c r="AN23" s="630" t="str">
        <f>+IF(C23="Corrupción","Moderado",IF(AM23&lt;=25%,"Bajo",IF(AM23&lt;=50%,"Moderado",IF(AM23&lt;=75%,"Alto",IF(AM23&gt;75%,"Extremo","")))))</f>
        <v>Moderado</v>
      </c>
      <c r="AO23" s="174" t="s">
        <v>59</v>
      </c>
      <c r="AP23" s="189">
        <v>1</v>
      </c>
      <c r="AQ23" s="275" t="s">
        <v>865</v>
      </c>
      <c r="AR23" s="134" t="s">
        <v>807</v>
      </c>
      <c r="AS23" s="274">
        <v>45901</v>
      </c>
      <c r="AT23" s="274">
        <v>46021</v>
      </c>
      <c r="AU23" s="275" t="s">
        <v>863</v>
      </c>
      <c r="AV23" s="189"/>
      <c r="AW23" s="189"/>
      <c r="AX23" s="189"/>
      <c r="AY23" s="189"/>
      <c r="AZ23" s="189"/>
      <c r="BA23" s="189"/>
      <c r="BB23" s="189"/>
      <c r="BC23" s="189"/>
      <c r="BD23" s="189"/>
      <c r="BE23" s="189"/>
      <c r="BF23" s="189"/>
      <c r="BG23" s="189"/>
    </row>
    <row r="24" spans="1:59" ht="87.6" customHeight="1" thickBot="1">
      <c r="A24" s="123" t="s">
        <v>231</v>
      </c>
      <c r="B24" s="124" t="s">
        <v>102</v>
      </c>
      <c r="C24" s="124" t="s">
        <v>92</v>
      </c>
      <c r="D24" s="124" t="s">
        <v>79</v>
      </c>
      <c r="E24" s="124" t="s">
        <v>36</v>
      </c>
      <c r="F24" s="124" t="s">
        <v>519</v>
      </c>
      <c r="G24" s="124" t="s">
        <v>520</v>
      </c>
      <c r="H24" s="124" t="s">
        <v>521</v>
      </c>
      <c r="I24" s="124" t="s">
        <v>522</v>
      </c>
      <c r="J24" s="124" t="s">
        <v>66</v>
      </c>
      <c r="K24" s="124">
        <v>1</v>
      </c>
      <c r="L24" s="173">
        <f t="shared" si="5"/>
        <v>8.3333333333333329E-2</v>
      </c>
      <c r="M24" s="124" t="s">
        <v>30</v>
      </c>
      <c r="N24" s="173">
        <f t="shared" si="6"/>
        <v>0.2</v>
      </c>
      <c r="O24" s="124" t="s">
        <v>64</v>
      </c>
      <c r="P24" s="173">
        <f t="shared" si="7"/>
        <v>0.6</v>
      </c>
      <c r="Q24" s="124" t="s">
        <v>73</v>
      </c>
      <c r="R24" s="173">
        <f t="shared" si="8"/>
        <v>0</v>
      </c>
      <c r="S24" s="127" t="s">
        <v>60</v>
      </c>
      <c r="T24" s="127" t="s">
        <v>45</v>
      </c>
      <c r="U24" s="173">
        <f t="shared" si="1"/>
        <v>0.6</v>
      </c>
      <c r="V24" s="419" t="str">
        <f t="shared" si="9"/>
        <v>Muy baja</v>
      </c>
      <c r="W24" s="173">
        <f>+IFERROR(VLOOKUP(V24,formulas!$F$1:$G$6,2,FALSE),"")</f>
        <v>0.2</v>
      </c>
      <c r="X24" s="630" t="str">
        <f t="shared" si="10"/>
        <v>Moderado</v>
      </c>
      <c r="Y24" s="173">
        <f>+IFERROR(VLOOKUP(X24,formulas!$H$1:$I$6,2,FALSE),"")</f>
        <v>0.6</v>
      </c>
      <c r="Z24" s="630" t="str">
        <f>+IFERROR(VLOOKUP(V24&amp;X24,formulas!$C$2:$D$26,2,FALSE),"")</f>
        <v>Moderado</v>
      </c>
      <c r="AA24" s="173">
        <f t="shared" si="2"/>
        <v>0.5</v>
      </c>
      <c r="AB24" s="223" t="s">
        <v>523</v>
      </c>
      <c r="AC24" s="189" t="s">
        <v>693</v>
      </c>
      <c r="AD24" s="124" t="s">
        <v>57</v>
      </c>
      <c r="AE24" s="173">
        <f t="shared" si="0"/>
        <v>0.25</v>
      </c>
      <c r="AF24" s="124" t="s">
        <v>229</v>
      </c>
      <c r="AG24" s="173">
        <f t="shared" si="3"/>
        <v>0.15</v>
      </c>
      <c r="AH24" s="173">
        <f t="shared" si="4"/>
        <v>0.4</v>
      </c>
      <c r="AI24" s="189"/>
      <c r="AJ24" s="124" t="s">
        <v>24</v>
      </c>
      <c r="AK24" s="124" t="s">
        <v>639</v>
      </c>
      <c r="AL24" s="205">
        <f t="shared" si="11"/>
        <v>0.2</v>
      </c>
      <c r="AM24" s="205">
        <f t="shared" si="12"/>
        <v>0.3</v>
      </c>
      <c r="AN24" s="630" t="str">
        <f>+IF(C24="Corrupción","Moderado",IF(AM24&lt;=25%,"Bajo",IF(AM24&lt;=50%,"Moderado",IF(AM24&lt;=75%,"Alto",IF(AM24&gt;75%,"Extremo","")))))</f>
        <v>Moderado</v>
      </c>
      <c r="AO24" s="174" t="s">
        <v>59</v>
      </c>
      <c r="AP24" s="189">
        <v>2</v>
      </c>
      <c r="AQ24" s="227" t="s">
        <v>525</v>
      </c>
      <c r="AR24" s="138" t="s">
        <v>807</v>
      </c>
      <c r="AS24" s="139">
        <v>45658</v>
      </c>
      <c r="AT24" s="139">
        <v>46022</v>
      </c>
      <c r="AU24" s="139" t="s">
        <v>526</v>
      </c>
      <c r="AV24" s="189"/>
      <c r="AW24" s="189"/>
      <c r="AX24" s="189"/>
      <c r="AY24" s="189"/>
      <c r="AZ24" s="189"/>
      <c r="BA24" s="189"/>
      <c r="BB24" s="189"/>
      <c r="BC24" s="189"/>
      <c r="BD24" s="189"/>
      <c r="BE24" s="189"/>
      <c r="BF24" s="189"/>
      <c r="BG24" s="189"/>
    </row>
    <row r="25" spans="1:59" ht="117.75" customHeight="1" thickBot="1">
      <c r="A25" s="894" t="s">
        <v>51</v>
      </c>
      <c r="B25" s="967" t="s">
        <v>162</v>
      </c>
      <c r="C25" s="967" t="s">
        <v>109</v>
      </c>
      <c r="D25" s="967" t="s">
        <v>582</v>
      </c>
      <c r="E25" s="967" t="s">
        <v>19</v>
      </c>
      <c r="F25" s="677" t="s">
        <v>866</v>
      </c>
      <c r="G25" s="967" t="s">
        <v>867</v>
      </c>
      <c r="H25" s="967" t="s">
        <v>868</v>
      </c>
      <c r="I25" s="967" t="s">
        <v>869</v>
      </c>
      <c r="J25" s="1048" t="s">
        <v>33</v>
      </c>
      <c r="K25" s="1048">
        <v>0</v>
      </c>
      <c r="L25" s="953">
        <f t="shared" si="5"/>
        <v>0</v>
      </c>
      <c r="M25" s="967" t="s">
        <v>30</v>
      </c>
      <c r="N25" s="953">
        <f t="shared" si="6"/>
        <v>0.2</v>
      </c>
      <c r="O25" s="967" t="s">
        <v>64</v>
      </c>
      <c r="P25" s="953">
        <f t="shared" si="7"/>
        <v>0.6</v>
      </c>
      <c r="Q25" s="967" t="s">
        <v>73</v>
      </c>
      <c r="R25" s="953">
        <f t="shared" si="8"/>
        <v>0</v>
      </c>
      <c r="S25" s="1062" t="s">
        <v>72</v>
      </c>
      <c r="T25" s="1062" t="s">
        <v>28</v>
      </c>
      <c r="U25" s="953">
        <f t="shared" si="1"/>
        <v>0.6</v>
      </c>
      <c r="V25" s="912" t="str">
        <f t="shared" si="9"/>
        <v>Muy baja</v>
      </c>
      <c r="W25" s="953">
        <f>+IFERROR(VLOOKUP(V25,formulas!$F$1:$G$6,2,FALSE),"")</f>
        <v>0.2</v>
      </c>
      <c r="X25" s="820" t="str">
        <f t="shared" si="10"/>
        <v>Moderado</v>
      </c>
      <c r="Y25" s="953">
        <f>+IFERROR(VLOOKUP(X25,formulas!$H$1:$I$6,2,FALSE),"")</f>
        <v>0.6</v>
      </c>
      <c r="Z25" s="820" t="str">
        <f>+IFERROR(VLOOKUP(V25&amp;X25,formulas!$C$2:$D$26,2,FALSE),"")</f>
        <v>Moderado</v>
      </c>
      <c r="AA25" s="953">
        <f t="shared" si="2"/>
        <v>0.5</v>
      </c>
      <c r="AB25" s="1054" t="s">
        <v>870</v>
      </c>
      <c r="AC25" s="677" t="s">
        <v>871</v>
      </c>
      <c r="AD25" s="677" t="s">
        <v>57</v>
      </c>
      <c r="AE25" s="667">
        <f t="shared" si="0"/>
        <v>0.25</v>
      </c>
      <c r="AF25" s="677" t="s">
        <v>229</v>
      </c>
      <c r="AG25" s="667">
        <f t="shared" si="3"/>
        <v>0.15</v>
      </c>
      <c r="AH25" s="667">
        <f t="shared" si="4"/>
        <v>0.4</v>
      </c>
      <c r="AI25" s="276"/>
      <c r="AJ25" s="677" t="s">
        <v>24</v>
      </c>
      <c r="AK25" s="677" t="s">
        <v>872</v>
      </c>
      <c r="AL25" s="690">
        <f t="shared" si="11"/>
        <v>0.2</v>
      </c>
      <c r="AM25" s="690">
        <f t="shared" si="12"/>
        <v>0.3</v>
      </c>
      <c r="AN25" s="820" t="str">
        <f>+IF(C25="Corrupción","Moderado",IF(AM26&lt;=25%,"Bajo",IF(AM26&lt;=50%,"Moderado",IF(AM26&lt;=75%,"Alto",IF(AM26&gt;75%,"Extremo","")))))</f>
        <v>Bajo</v>
      </c>
      <c r="AO25" s="826" t="s">
        <v>59</v>
      </c>
      <c r="AP25" s="276">
        <v>1</v>
      </c>
      <c r="AQ25" s="276"/>
      <c r="AR25" s="562" t="s">
        <v>172</v>
      </c>
      <c r="AS25" s="513"/>
      <c r="AT25" s="513"/>
      <c r="AU25" s="276"/>
      <c r="AV25" s="276"/>
      <c r="AW25" s="276"/>
      <c r="AX25" s="276"/>
      <c r="AY25" s="276"/>
      <c r="AZ25" s="276"/>
      <c r="BA25" s="276"/>
      <c r="BB25" s="276"/>
      <c r="BC25" s="276"/>
      <c r="BD25" s="276"/>
      <c r="BE25" s="276"/>
      <c r="BF25" s="276"/>
      <c r="BG25" s="276"/>
    </row>
    <row r="26" spans="1:59" ht="198.75" customHeight="1" thickBot="1">
      <c r="A26" s="895"/>
      <c r="B26" s="969"/>
      <c r="C26" s="969"/>
      <c r="D26" s="969"/>
      <c r="E26" s="969"/>
      <c r="F26" s="673" t="s">
        <v>873</v>
      </c>
      <c r="G26" s="969"/>
      <c r="H26" s="969"/>
      <c r="I26" s="969"/>
      <c r="J26" s="1049"/>
      <c r="K26" s="1049"/>
      <c r="L26" s="927"/>
      <c r="M26" s="969"/>
      <c r="N26" s="927"/>
      <c r="O26" s="969"/>
      <c r="P26" s="927"/>
      <c r="Q26" s="969"/>
      <c r="R26" s="927"/>
      <c r="S26" s="1063"/>
      <c r="T26" s="1063"/>
      <c r="U26" s="927">
        <f t="shared" si="1"/>
        <v>0</v>
      </c>
      <c r="V26" s="1045"/>
      <c r="W26" s="1051" t="str">
        <f>+IFERROR(VLOOKUP(V26,formulas!$F$1:$G$6,2,FALSE),"")</f>
        <v/>
      </c>
      <c r="X26" s="822"/>
      <c r="Y26" s="927" t="str">
        <f>+IFERROR(VLOOKUP(X26,formulas!$H$1:$I$6,2,FALSE),"")</f>
        <v/>
      </c>
      <c r="Z26" s="822"/>
      <c r="AA26" s="927" t="str">
        <f t="shared" si="2"/>
        <v/>
      </c>
      <c r="AB26" s="1055"/>
      <c r="AC26" s="677" t="s">
        <v>874</v>
      </c>
      <c r="AD26" s="673" t="s">
        <v>57</v>
      </c>
      <c r="AE26" s="657">
        <f t="shared" si="0"/>
        <v>0.25</v>
      </c>
      <c r="AF26" s="673" t="s">
        <v>229</v>
      </c>
      <c r="AG26" s="657">
        <f t="shared" si="3"/>
        <v>0.15</v>
      </c>
      <c r="AH26" s="657">
        <f t="shared" si="4"/>
        <v>0.4</v>
      </c>
      <c r="AI26" s="110"/>
      <c r="AJ26" s="673" t="s">
        <v>41</v>
      </c>
      <c r="AK26" s="673" t="s">
        <v>516</v>
      </c>
      <c r="AL26" s="648">
        <f>+AM25*AH26</f>
        <v>0.12</v>
      </c>
      <c r="AM26" s="648">
        <f>+AM25-AL26</f>
        <v>0.18</v>
      </c>
      <c r="AN26" s="822"/>
      <c r="AO26" s="827"/>
      <c r="AP26" s="110">
        <v>2</v>
      </c>
      <c r="AQ26" s="110"/>
      <c r="AR26" s="562" t="s">
        <v>172</v>
      </c>
      <c r="AS26" s="515"/>
      <c r="AT26" s="515"/>
      <c r="AU26" s="110"/>
      <c r="AV26" s="110"/>
      <c r="AW26" s="110"/>
      <c r="AX26" s="110"/>
      <c r="AY26" s="110"/>
      <c r="AZ26" s="110"/>
      <c r="BA26" s="110"/>
      <c r="BB26" s="110"/>
      <c r="BC26" s="110"/>
      <c r="BD26" s="110"/>
      <c r="BE26" s="110"/>
      <c r="BF26" s="110"/>
      <c r="BG26" s="110"/>
    </row>
    <row r="27" spans="1:59" ht="87.6" customHeight="1" thickBot="1">
      <c r="A27" s="123" t="s">
        <v>51</v>
      </c>
      <c r="B27" s="124" t="s">
        <v>162</v>
      </c>
      <c r="C27" s="124" t="s">
        <v>109</v>
      </c>
      <c r="D27" s="124" t="s">
        <v>582</v>
      </c>
      <c r="E27" s="124" t="s">
        <v>19</v>
      </c>
      <c r="F27" s="124" t="s">
        <v>875</v>
      </c>
      <c r="G27" s="124" t="s">
        <v>876</v>
      </c>
      <c r="H27" s="124" t="s">
        <v>877</v>
      </c>
      <c r="I27" s="124" t="s">
        <v>878</v>
      </c>
      <c r="J27" s="124" t="s">
        <v>33</v>
      </c>
      <c r="K27" s="124"/>
      <c r="L27" s="173">
        <f t="shared" si="5"/>
        <v>0</v>
      </c>
      <c r="M27" s="124" t="s">
        <v>30</v>
      </c>
      <c r="N27" s="173">
        <f t="shared" si="6"/>
        <v>0.2</v>
      </c>
      <c r="O27" s="124" t="s">
        <v>64</v>
      </c>
      <c r="P27" s="173">
        <f t="shared" si="7"/>
        <v>0.6</v>
      </c>
      <c r="Q27" s="124" t="s">
        <v>73</v>
      </c>
      <c r="R27" s="173">
        <f t="shared" si="8"/>
        <v>0</v>
      </c>
      <c r="S27" s="127" t="s">
        <v>72</v>
      </c>
      <c r="T27" s="127" t="s">
        <v>28</v>
      </c>
      <c r="U27" s="173">
        <f t="shared" si="1"/>
        <v>0.6</v>
      </c>
      <c r="V27" s="419" t="str">
        <f t="shared" si="9"/>
        <v>Muy baja</v>
      </c>
      <c r="W27" s="173">
        <f>+IFERROR(VLOOKUP(V27,formulas!$F$1:$G$6,2,FALSE),"")</f>
        <v>0.2</v>
      </c>
      <c r="X27" s="630" t="str">
        <f t="shared" si="10"/>
        <v>Moderado</v>
      </c>
      <c r="Y27" s="173">
        <f>+IFERROR(VLOOKUP(X27,formulas!$H$1:$I$6,2,FALSE),"")</f>
        <v>0.6</v>
      </c>
      <c r="Z27" s="630" t="str">
        <f>+IFERROR(VLOOKUP(V27&amp;X27,formulas!$C$2:$D$26,2,FALSE),"")</f>
        <v>Moderado</v>
      </c>
      <c r="AA27" s="173">
        <f t="shared" si="2"/>
        <v>0.5</v>
      </c>
      <c r="AB27" s="278" t="s">
        <v>870</v>
      </c>
      <c r="AC27" s="124" t="s">
        <v>879</v>
      </c>
      <c r="AD27" s="124" t="s">
        <v>57</v>
      </c>
      <c r="AE27" s="173">
        <f t="shared" si="0"/>
        <v>0.25</v>
      </c>
      <c r="AF27" s="124" t="s">
        <v>229</v>
      </c>
      <c r="AG27" s="173">
        <f t="shared" si="3"/>
        <v>0.15</v>
      </c>
      <c r="AH27" s="173">
        <f t="shared" si="4"/>
        <v>0.4</v>
      </c>
      <c r="AI27" s="189"/>
      <c r="AJ27" s="192" t="s">
        <v>24</v>
      </c>
      <c r="AK27" s="192" t="s">
        <v>880</v>
      </c>
      <c r="AL27" s="205">
        <f t="shared" si="11"/>
        <v>0.2</v>
      </c>
      <c r="AM27" s="205">
        <f t="shared" si="12"/>
        <v>0.3</v>
      </c>
      <c r="AN27" s="630" t="str">
        <f>+IF(C27="Corrupción","Moderado",IF(AM27&lt;=25%,"Bajo",IF(AM27&lt;=50%,"Moderado",IF(AM27&lt;=75%,"Alto",IF(AM27&gt;75%,"Extremo","")))))</f>
        <v>Moderado</v>
      </c>
      <c r="AO27" s="174" t="s">
        <v>59</v>
      </c>
      <c r="AP27" s="189">
        <v>1</v>
      </c>
      <c r="AQ27" s="189"/>
      <c r="AR27" s="562" t="s">
        <v>172</v>
      </c>
      <c r="AS27" s="516"/>
      <c r="AT27" s="516"/>
      <c r="AU27" s="189"/>
      <c r="AV27" s="189"/>
      <c r="AW27" s="189"/>
      <c r="AX27" s="189"/>
      <c r="AY27" s="189"/>
      <c r="AZ27" s="189"/>
      <c r="BA27" s="189"/>
      <c r="BB27" s="189"/>
      <c r="BC27" s="189"/>
      <c r="BD27" s="189"/>
      <c r="BE27" s="189"/>
      <c r="BF27" s="189"/>
      <c r="BG27" s="189"/>
    </row>
    <row r="28" spans="1:59" ht="187.5" customHeight="1">
      <c r="A28" s="894" t="s">
        <v>51</v>
      </c>
      <c r="B28" s="967" t="s">
        <v>162</v>
      </c>
      <c r="C28" s="967" t="s">
        <v>109</v>
      </c>
      <c r="D28" s="967" t="s">
        <v>582</v>
      </c>
      <c r="E28" s="967" t="s">
        <v>19</v>
      </c>
      <c r="F28" s="677" t="s">
        <v>881</v>
      </c>
      <c r="G28" s="967" t="s">
        <v>882</v>
      </c>
      <c r="H28" s="967" t="s">
        <v>883</v>
      </c>
      <c r="I28" s="967" t="s">
        <v>878</v>
      </c>
      <c r="J28" s="967" t="s">
        <v>33</v>
      </c>
      <c r="K28" s="967"/>
      <c r="L28" s="953">
        <f t="shared" si="5"/>
        <v>0</v>
      </c>
      <c r="M28" s="967" t="s">
        <v>30</v>
      </c>
      <c r="N28" s="953">
        <f t="shared" si="6"/>
        <v>0.2</v>
      </c>
      <c r="O28" s="967" t="s">
        <v>64</v>
      </c>
      <c r="P28" s="953">
        <f t="shared" si="7"/>
        <v>0.6</v>
      </c>
      <c r="Q28" s="967" t="s">
        <v>73</v>
      </c>
      <c r="R28" s="953">
        <f t="shared" si="8"/>
        <v>0</v>
      </c>
      <c r="S28" s="1062" t="s">
        <v>72</v>
      </c>
      <c r="T28" s="1062" t="s">
        <v>28</v>
      </c>
      <c r="U28" s="953">
        <f t="shared" si="1"/>
        <v>0.6</v>
      </c>
      <c r="V28" s="912" t="str">
        <f t="shared" si="9"/>
        <v>Muy baja</v>
      </c>
      <c r="W28" s="953">
        <f>+IFERROR(VLOOKUP(V28,formulas!$F$1:$G$6,2,FALSE),"")</f>
        <v>0.2</v>
      </c>
      <c r="X28" s="820" t="str">
        <f t="shared" si="10"/>
        <v>Moderado</v>
      </c>
      <c r="Y28" s="953">
        <f>+IFERROR(VLOOKUP(X28,formulas!$H$1:$I$6,2,FALSE),"")</f>
        <v>0.6</v>
      </c>
      <c r="Z28" s="820" t="str">
        <f>+IFERROR(VLOOKUP(V28&amp;X28,formulas!$C$2:$D$26,2,FALSE),"")</f>
        <v>Moderado</v>
      </c>
      <c r="AA28" s="953">
        <f t="shared" si="2"/>
        <v>0.5</v>
      </c>
      <c r="AB28" s="1054" t="s">
        <v>870</v>
      </c>
      <c r="AC28" s="699" t="s">
        <v>884</v>
      </c>
      <c r="AD28" s="677" t="s">
        <v>57</v>
      </c>
      <c r="AE28" s="667">
        <f t="shared" si="0"/>
        <v>0.25</v>
      </c>
      <c r="AF28" s="677" t="s">
        <v>229</v>
      </c>
      <c r="AG28" s="667">
        <f t="shared" si="3"/>
        <v>0.15</v>
      </c>
      <c r="AH28" s="667">
        <f t="shared" si="4"/>
        <v>0.4</v>
      </c>
      <c r="AI28" s="276"/>
      <c r="AJ28" s="691" t="s">
        <v>24</v>
      </c>
      <c r="AK28" s="691" t="s">
        <v>880</v>
      </c>
      <c r="AL28" s="690">
        <f t="shared" si="11"/>
        <v>0.2</v>
      </c>
      <c r="AM28" s="690">
        <f t="shared" si="12"/>
        <v>0.3</v>
      </c>
      <c r="AN28" s="820" t="str">
        <f>+IF(C28="Corrupción","Moderado",IF(AM29&lt;=25%,"Bajo",IF(AM29&lt;=50%,"Moderado",IF(AM29&lt;=75%,"Alto",IF(AM29&gt;75%,"Extremo","")))))</f>
        <v>Bajo</v>
      </c>
      <c r="AO28" s="826" t="s">
        <v>59</v>
      </c>
      <c r="AP28" s="276">
        <v>1</v>
      </c>
      <c r="AQ28" s="276"/>
      <c r="AR28" s="562" t="s">
        <v>172</v>
      </c>
      <c r="AS28" s="513"/>
      <c r="AT28" s="513"/>
      <c r="AU28" s="276"/>
      <c r="AV28" s="276"/>
      <c r="AW28" s="276"/>
      <c r="AX28" s="276"/>
      <c r="AY28" s="276"/>
      <c r="AZ28" s="276"/>
      <c r="BA28" s="276"/>
      <c r="BB28" s="276"/>
      <c r="BC28" s="276"/>
      <c r="BD28" s="276"/>
      <c r="BE28" s="276"/>
      <c r="BF28" s="276"/>
      <c r="BG28" s="276"/>
    </row>
    <row r="29" spans="1:59" ht="87.6" customHeight="1" thickBot="1">
      <c r="A29" s="895"/>
      <c r="B29" s="969"/>
      <c r="C29" s="969"/>
      <c r="D29" s="969"/>
      <c r="E29" s="969"/>
      <c r="F29" s="673" t="s">
        <v>885</v>
      </c>
      <c r="G29" s="969"/>
      <c r="H29" s="969"/>
      <c r="I29" s="969"/>
      <c r="J29" s="969"/>
      <c r="K29" s="969"/>
      <c r="L29" s="927"/>
      <c r="M29" s="969"/>
      <c r="N29" s="927"/>
      <c r="O29" s="969"/>
      <c r="P29" s="927"/>
      <c r="Q29" s="969"/>
      <c r="R29" s="927"/>
      <c r="S29" s="1063"/>
      <c r="T29" s="1063"/>
      <c r="U29" s="927">
        <f t="shared" si="1"/>
        <v>0</v>
      </c>
      <c r="V29" s="1045"/>
      <c r="W29" s="1051" t="str">
        <f>+IFERROR(VLOOKUP(V29,formulas!$F$1:$G$6,2,FALSE),"")</f>
        <v/>
      </c>
      <c r="X29" s="822"/>
      <c r="Y29" s="927" t="str">
        <f>+IFERROR(VLOOKUP(X29,formulas!$H$1:$I$6,2,FALSE),"")</f>
        <v/>
      </c>
      <c r="Z29" s="822"/>
      <c r="AA29" s="927" t="str">
        <f t="shared" si="2"/>
        <v/>
      </c>
      <c r="AB29" s="1055"/>
      <c r="AC29" s="673" t="s">
        <v>871</v>
      </c>
      <c r="AD29" s="673" t="s">
        <v>57</v>
      </c>
      <c r="AE29" s="657">
        <f t="shared" si="0"/>
        <v>0.25</v>
      </c>
      <c r="AF29" s="673" t="s">
        <v>229</v>
      </c>
      <c r="AG29" s="657">
        <f t="shared" si="3"/>
        <v>0.15</v>
      </c>
      <c r="AH29" s="657">
        <f t="shared" si="4"/>
        <v>0.4</v>
      </c>
      <c r="AI29" s="110"/>
      <c r="AJ29" s="673" t="s">
        <v>24</v>
      </c>
      <c r="AK29" s="673" t="s">
        <v>872</v>
      </c>
      <c r="AL29" s="648">
        <f>+AM28*AH29</f>
        <v>0.12</v>
      </c>
      <c r="AM29" s="648">
        <f>+AM28-AL29</f>
        <v>0.18</v>
      </c>
      <c r="AN29" s="822"/>
      <c r="AO29" s="827"/>
      <c r="AP29" s="110">
        <v>2</v>
      </c>
      <c r="AQ29" s="110"/>
      <c r="AR29" s="562" t="s">
        <v>172</v>
      </c>
      <c r="AS29" s="515"/>
      <c r="AT29" s="515"/>
      <c r="AU29" s="110"/>
      <c r="AV29" s="110"/>
      <c r="AW29" s="110"/>
      <c r="AX29" s="110"/>
      <c r="AY29" s="110"/>
      <c r="AZ29" s="110"/>
      <c r="BA29" s="110"/>
      <c r="BB29" s="110"/>
      <c r="BC29" s="110"/>
      <c r="BD29" s="110"/>
      <c r="BE29" s="110"/>
      <c r="BF29" s="110"/>
      <c r="BG29" s="110"/>
    </row>
    <row r="30" spans="1:59" ht="87.6" customHeight="1">
      <c r="A30" s="894" t="s">
        <v>51</v>
      </c>
      <c r="B30" s="967" t="s">
        <v>162</v>
      </c>
      <c r="C30" s="967" t="s">
        <v>152</v>
      </c>
      <c r="D30" s="967" t="s">
        <v>582</v>
      </c>
      <c r="E30" s="967" t="s">
        <v>36</v>
      </c>
      <c r="F30" s="677" t="s">
        <v>886</v>
      </c>
      <c r="G30" s="967" t="s">
        <v>887</v>
      </c>
      <c r="H30" s="1065" t="s">
        <v>888</v>
      </c>
      <c r="I30" s="1065" t="s">
        <v>889</v>
      </c>
      <c r="J30" s="967" t="s">
        <v>66</v>
      </c>
      <c r="K30" s="978">
        <v>0.08</v>
      </c>
      <c r="L30" s="953">
        <f t="shared" si="5"/>
        <v>6.6666666666666671E-3</v>
      </c>
      <c r="M30" s="967" t="s">
        <v>30</v>
      </c>
      <c r="N30" s="953">
        <f t="shared" si="6"/>
        <v>0.2</v>
      </c>
      <c r="O30" s="967" t="s">
        <v>64</v>
      </c>
      <c r="P30" s="953">
        <f t="shared" si="7"/>
        <v>0.6</v>
      </c>
      <c r="Q30" s="967" t="s">
        <v>73</v>
      </c>
      <c r="R30" s="953">
        <f t="shared" si="8"/>
        <v>0</v>
      </c>
      <c r="S30" s="1062" t="s">
        <v>72</v>
      </c>
      <c r="T30" s="1062" t="s">
        <v>28</v>
      </c>
      <c r="U30" s="953">
        <f t="shared" si="1"/>
        <v>0.6</v>
      </c>
      <c r="V30" s="912" t="str">
        <f t="shared" si="9"/>
        <v>Muy baja</v>
      </c>
      <c r="W30" s="953">
        <f>+IFERROR(VLOOKUP(V30,formulas!$F$1:$G$6,2,FALSE),"")</f>
        <v>0.2</v>
      </c>
      <c r="X30" s="820" t="str">
        <f t="shared" si="10"/>
        <v>Moderado</v>
      </c>
      <c r="Y30" s="953">
        <f>+IFERROR(VLOOKUP(X30,formulas!$H$1:$I$6,2,FALSE),"")</f>
        <v>0.6</v>
      </c>
      <c r="Z30" s="820" t="str">
        <f>+IFERROR(VLOOKUP(V30&amp;X30,formulas!$C$2:$D$26,2,FALSE),"")</f>
        <v>Moderado</v>
      </c>
      <c r="AA30" s="953">
        <f t="shared" si="2"/>
        <v>0.5</v>
      </c>
      <c r="AB30" s="1050" t="s">
        <v>890</v>
      </c>
      <c r="AC30" s="967" t="s">
        <v>891</v>
      </c>
      <c r="AD30" s="967" t="s">
        <v>57</v>
      </c>
      <c r="AE30" s="953">
        <f t="shared" si="0"/>
        <v>0.25</v>
      </c>
      <c r="AF30" s="967" t="s">
        <v>229</v>
      </c>
      <c r="AG30" s="953">
        <f t="shared" si="3"/>
        <v>0.15</v>
      </c>
      <c r="AH30" s="953">
        <f t="shared" si="4"/>
        <v>0.4</v>
      </c>
      <c r="AI30" s="276"/>
      <c r="AJ30" s="1048" t="s">
        <v>24</v>
      </c>
      <c r="AK30" s="1048" t="s">
        <v>892</v>
      </c>
      <c r="AL30" s="852">
        <f t="shared" si="11"/>
        <v>0.2</v>
      </c>
      <c r="AM30" s="852">
        <f t="shared" si="12"/>
        <v>0.3</v>
      </c>
      <c r="AN30" s="820" t="str">
        <f>+IF(C30="Corrupción","Moderado",IF(AM30&lt;=25%,"Bajo",IF(AM30&lt;=50%,"Moderado",IF(AM30&lt;=75%,"Alto",IF(AM30&gt;75%,"Extremo","")))))</f>
        <v>Moderado</v>
      </c>
      <c r="AO30" s="826" t="s">
        <v>59</v>
      </c>
      <c r="AP30" s="276">
        <v>1</v>
      </c>
      <c r="AQ30" s="1071" t="s">
        <v>893</v>
      </c>
      <c r="AR30" s="512"/>
      <c r="AS30" s="513"/>
      <c r="AT30" s="513"/>
      <c r="AU30" s="276"/>
      <c r="AV30" s="276"/>
      <c r="AW30" s="276"/>
      <c r="AX30" s="276"/>
      <c r="AY30" s="276"/>
      <c r="AZ30" s="276"/>
      <c r="BA30" s="276"/>
      <c r="BB30" s="276"/>
      <c r="BC30" s="276"/>
      <c r="BD30" s="276"/>
      <c r="BE30" s="276"/>
      <c r="BF30" s="276"/>
      <c r="BG30" s="276"/>
    </row>
    <row r="31" spans="1:59" ht="87.6" customHeight="1" thickBot="1">
      <c r="A31" s="895"/>
      <c r="B31" s="969"/>
      <c r="C31" s="969"/>
      <c r="D31" s="969"/>
      <c r="E31" s="969"/>
      <c r="F31" s="673" t="s">
        <v>894</v>
      </c>
      <c r="G31" s="969"/>
      <c r="H31" s="1066"/>
      <c r="I31" s="1066"/>
      <c r="J31" s="969"/>
      <c r="K31" s="971"/>
      <c r="L31" s="927"/>
      <c r="M31" s="969"/>
      <c r="N31" s="927"/>
      <c r="O31" s="969"/>
      <c r="P31" s="927"/>
      <c r="Q31" s="969"/>
      <c r="R31" s="927"/>
      <c r="S31" s="1063"/>
      <c r="T31" s="1063"/>
      <c r="U31" s="927">
        <f t="shared" si="1"/>
        <v>0</v>
      </c>
      <c r="V31" s="1045"/>
      <c r="W31" s="1051" t="str">
        <f>+IFERROR(VLOOKUP(V31,formulas!$F$1:$G$6,2,FALSE),"")</f>
        <v/>
      </c>
      <c r="X31" s="822"/>
      <c r="Y31" s="927" t="str">
        <f>+IFERROR(VLOOKUP(X31,formulas!$H$1:$I$6,2,FALSE),"")</f>
        <v/>
      </c>
      <c r="Z31" s="822"/>
      <c r="AA31" s="927" t="str">
        <f t="shared" si="2"/>
        <v/>
      </c>
      <c r="AB31" s="1051"/>
      <c r="AC31" s="969"/>
      <c r="AD31" s="969"/>
      <c r="AE31" s="927"/>
      <c r="AF31" s="969"/>
      <c r="AG31" s="927"/>
      <c r="AH31" s="927"/>
      <c r="AI31" s="110"/>
      <c r="AJ31" s="1049"/>
      <c r="AK31" s="1049"/>
      <c r="AL31" s="854"/>
      <c r="AM31" s="854"/>
      <c r="AN31" s="822"/>
      <c r="AO31" s="827"/>
      <c r="AP31" s="110">
        <v>2</v>
      </c>
      <c r="AQ31" s="1072"/>
      <c r="AR31" s="514"/>
      <c r="AS31" s="515"/>
      <c r="AT31" s="515"/>
      <c r="AU31" s="110"/>
      <c r="AV31" s="110"/>
      <c r="AW31" s="110"/>
      <c r="AX31" s="110"/>
      <c r="AY31" s="110"/>
      <c r="AZ31" s="110"/>
      <c r="BA31" s="110"/>
      <c r="BB31" s="110"/>
      <c r="BC31" s="110"/>
      <c r="BD31" s="110"/>
      <c r="BE31" s="110"/>
      <c r="BF31" s="110"/>
      <c r="BG31" s="110"/>
    </row>
    <row r="32" spans="1:59" ht="87.6" customHeight="1">
      <c r="A32" s="894" t="s">
        <v>51</v>
      </c>
      <c r="B32" s="967" t="s">
        <v>162</v>
      </c>
      <c r="C32" s="967" t="s">
        <v>152</v>
      </c>
      <c r="D32" s="967" t="s">
        <v>582</v>
      </c>
      <c r="E32" s="967" t="s">
        <v>36</v>
      </c>
      <c r="F32" s="677" t="s">
        <v>895</v>
      </c>
      <c r="G32" s="967" t="s">
        <v>896</v>
      </c>
      <c r="H32" s="1065" t="s">
        <v>897</v>
      </c>
      <c r="I32" s="1065" t="s">
        <v>898</v>
      </c>
      <c r="J32" s="967" t="s">
        <v>66</v>
      </c>
      <c r="K32" s="978">
        <v>0.08</v>
      </c>
      <c r="L32" s="953">
        <f t="shared" si="5"/>
        <v>6.6666666666666671E-3</v>
      </c>
      <c r="M32" s="967" t="s">
        <v>30</v>
      </c>
      <c r="N32" s="953">
        <f t="shared" si="6"/>
        <v>0.2</v>
      </c>
      <c r="O32" s="967" t="s">
        <v>64</v>
      </c>
      <c r="P32" s="953">
        <f t="shared" si="7"/>
        <v>0.6</v>
      </c>
      <c r="Q32" s="967" t="s">
        <v>73</v>
      </c>
      <c r="R32" s="953">
        <f t="shared" si="8"/>
        <v>0</v>
      </c>
      <c r="S32" s="1062" t="s">
        <v>72</v>
      </c>
      <c r="T32" s="1062" t="s">
        <v>28</v>
      </c>
      <c r="U32" s="953">
        <f t="shared" si="1"/>
        <v>0.6</v>
      </c>
      <c r="V32" s="912" t="str">
        <f t="shared" si="9"/>
        <v>Muy baja</v>
      </c>
      <c r="W32" s="953">
        <f>+IFERROR(VLOOKUP(V32,formulas!$F$1:$G$6,2,FALSE),"")</f>
        <v>0.2</v>
      </c>
      <c r="X32" s="820" t="str">
        <f t="shared" si="10"/>
        <v>Moderado</v>
      </c>
      <c r="Y32" s="953">
        <f>+IFERROR(VLOOKUP(X32,formulas!$H$1:$I$6,2,FALSE),"")</f>
        <v>0.6</v>
      </c>
      <c r="Z32" s="820" t="str">
        <f>+IFERROR(VLOOKUP(V32&amp;X32,formulas!$C$2:$D$26,2,FALSE),"")</f>
        <v>Moderado</v>
      </c>
      <c r="AA32" s="953">
        <f t="shared" si="2"/>
        <v>0.5</v>
      </c>
      <c r="AB32" s="1052"/>
      <c r="AC32" s="967" t="s">
        <v>899</v>
      </c>
      <c r="AD32" s="967" t="s">
        <v>57</v>
      </c>
      <c r="AE32" s="953">
        <f t="shared" si="0"/>
        <v>0.25</v>
      </c>
      <c r="AF32" s="967" t="s">
        <v>229</v>
      </c>
      <c r="AG32" s="953">
        <f t="shared" si="3"/>
        <v>0.15</v>
      </c>
      <c r="AH32" s="953">
        <f t="shared" si="4"/>
        <v>0.4</v>
      </c>
      <c r="AI32" s="276"/>
      <c r="AJ32" s="1048" t="s">
        <v>24</v>
      </c>
      <c r="AK32" s="1048" t="s">
        <v>900</v>
      </c>
      <c r="AL32" s="1047">
        <f t="shared" si="11"/>
        <v>0.2</v>
      </c>
      <c r="AM32" s="1047">
        <f t="shared" si="12"/>
        <v>0.3</v>
      </c>
      <c r="AN32" s="820" t="str">
        <f>+IF(C32="Corrupción","Moderado",IF(AM33&lt;=25%,"Bajo",IF(AM33&lt;=50%,"Moderado",IF(AM33&lt;=75%,"Alto",IF(AM33&gt;75%,"Extremo","")))))</f>
        <v>Bajo</v>
      </c>
      <c r="AO32" s="826" t="s">
        <v>59</v>
      </c>
      <c r="AP32" s="276">
        <v>1</v>
      </c>
      <c r="AQ32" s="276"/>
      <c r="AR32" s="512"/>
      <c r="AS32" s="513"/>
      <c r="AT32" s="513"/>
      <c r="AU32" s="276"/>
      <c r="AV32" s="276"/>
      <c r="AW32" s="276"/>
      <c r="AX32" s="276"/>
      <c r="AY32" s="276"/>
      <c r="AZ32" s="276"/>
      <c r="BA32" s="276"/>
      <c r="BB32" s="276"/>
      <c r="BC32" s="276"/>
      <c r="BD32" s="276"/>
      <c r="BE32" s="276"/>
      <c r="BF32" s="276"/>
      <c r="BG32" s="276"/>
    </row>
    <row r="33" spans="1:59" ht="87.6" customHeight="1" thickBot="1">
      <c r="A33" s="895"/>
      <c r="B33" s="969"/>
      <c r="C33" s="969"/>
      <c r="D33" s="969"/>
      <c r="E33" s="969"/>
      <c r="F33" s="673" t="s">
        <v>901</v>
      </c>
      <c r="G33" s="969"/>
      <c r="H33" s="1066"/>
      <c r="I33" s="1066"/>
      <c r="J33" s="969"/>
      <c r="K33" s="971"/>
      <c r="L33" s="927"/>
      <c r="M33" s="969"/>
      <c r="N33" s="927"/>
      <c r="O33" s="969"/>
      <c r="P33" s="927"/>
      <c r="Q33" s="969"/>
      <c r="R33" s="927"/>
      <c r="S33" s="1063"/>
      <c r="T33" s="1063"/>
      <c r="U33" s="927">
        <f t="shared" si="1"/>
        <v>0</v>
      </c>
      <c r="V33" s="1045"/>
      <c r="W33" s="1051" t="str">
        <f>+IFERROR(VLOOKUP(V33,formulas!$F$1:$G$6,2,FALSE),"")</f>
        <v/>
      </c>
      <c r="X33" s="822"/>
      <c r="Y33" s="927" t="str">
        <f>+IFERROR(VLOOKUP(X33,formulas!$H$1:$I$6,2,FALSE),"")</f>
        <v/>
      </c>
      <c r="Z33" s="822"/>
      <c r="AA33" s="927" t="str">
        <f t="shared" si="2"/>
        <v/>
      </c>
      <c r="AB33" s="1053"/>
      <c r="AC33" s="969"/>
      <c r="AD33" s="969"/>
      <c r="AE33" s="927"/>
      <c r="AF33" s="969"/>
      <c r="AG33" s="927"/>
      <c r="AH33" s="927"/>
      <c r="AI33" s="110"/>
      <c r="AJ33" s="1049"/>
      <c r="AK33" s="1049"/>
      <c r="AL33" s="886"/>
      <c r="AM33" s="886"/>
      <c r="AN33" s="822"/>
      <c r="AO33" s="827"/>
      <c r="AP33" s="110">
        <v>2</v>
      </c>
      <c r="AQ33" s="110"/>
      <c r="AR33" s="514"/>
      <c r="AS33" s="515"/>
      <c r="AT33" s="515"/>
      <c r="AU33" s="110"/>
      <c r="AV33" s="110"/>
      <c r="AW33" s="110"/>
      <c r="AX33" s="110"/>
      <c r="AY33" s="110"/>
      <c r="AZ33" s="110"/>
      <c r="BA33" s="110"/>
      <c r="BB33" s="110"/>
      <c r="BC33" s="110"/>
      <c r="BD33" s="110"/>
      <c r="BE33" s="110"/>
      <c r="BF33" s="110"/>
      <c r="BG33" s="110"/>
    </row>
    <row r="34" spans="1:59" ht="87.6" customHeight="1">
      <c r="A34" s="894" t="s">
        <v>51</v>
      </c>
      <c r="B34" s="967" t="s">
        <v>162</v>
      </c>
      <c r="C34" s="967" t="s">
        <v>152</v>
      </c>
      <c r="D34" s="967" t="s">
        <v>582</v>
      </c>
      <c r="E34" s="967" t="s">
        <v>36</v>
      </c>
      <c r="F34" s="677" t="s">
        <v>902</v>
      </c>
      <c r="G34" s="967" t="s">
        <v>903</v>
      </c>
      <c r="H34" s="1065" t="s">
        <v>904</v>
      </c>
      <c r="I34" s="1065" t="s">
        <v>905</v>
      </c>
      <c r="J34" s="967" t="s">
        <v>66</v>
      </c>
      <c r="K34" s="978">
        <v>0.08</v>
      </c>
      <c r="L34" s="953">
        <f t="shared" si="5"/>
        <v>6.6666666666666671E-3</v>
      </c>
      <c r="M34" s="967" t="s">
        <v>30</v>
      </c>
      <c r="N34" s="953">
        <f t="shared" si="6"/>
        <v>0.2</v>
      </c>
      <c r="O34" s="967" t="s">
        <v>64</v>
      </c>
      <c r="P34" s="953">
        <f t="shared" si="7"/>
        <v>0.6</v>
      </c>
      <c r="Q34" s="967" t="s">
        <v>73</v>
      </c>
      <c r="R34" s="953">
        <f t="shared" si="8"/>
        <v>0</v>
      </c>
      <c r="S34" s="1062" t="s">
        <v>72</v>
      </c>
      <c r="T34" s="1062" t="s">
        <v>28</v>
      </c>
      <c r="U34" s="953">
        <f t="shared" si="1"/>
        <v>0.6</v>
      </c>
      <c r="V34" s="912" t="str">
        <f t="shared" si="9"/>
        <v>Muy baja</v>
      </c>
      <c r="W34" s="953">
        <f>+IFERROR(VLOOKUP(V34,formulas!$F$1:$G$6,2,FALSE),"")</f>
        <v>0.2</v>
      </c>
      <c r="X34" s="820" t="str">
        <f t="shared" si="10"/>
        <v>Moderado</v>
      </c>
      <c r="Y34" s="953">
        <f>+IFERROR(VLOOKUP(X34,formulas!$H$1:$I$6,2,FALSE),"")</f>
        <v>0.6</v>
      </c>
      <c r="Z34" s="820" t="str">
        <f>+IFERROR(VLOOKUP(V34&amp;X34,formulas!$C$2:$D$26,2,FALSE),"")</f>
        <v>Moderado</v>
      </c>
      <c r="AA34" s="953">
        <f t="shared" si="2"/>
        <v>0.5</v>
      </c>
      <c r="AB34" s="1052"/>
      <c r="AC34" s="967" t="s">
        <v>906</v>
      </c>
      <c r="AD34" s="967" t="s">
        <v>57</v>
      </c>
      <c r="AE34" s="953">
        <f t="shared" si="0"/>
        <v>0.25</v>
      </c>
      <c r="AF34" s="967" t="s">
        <v>229</v>
      </c>
      <c r="AG34" s="953">
        <f t="shared" si="3"/>
        <v>0.15</v>
      </c>
      <c r="AH34" s="953">
        <f t="shared" si="4"/>
        <v>0.4</v>
      </c>
      <c r="AI34" s="276"/>
      <c r="AJ34" s="1048" t="s">
        <v>24</v>
      </c>
      <c r="AK34" s="1048" t="s">
        <v>907</v>
      </c>
      <c r="AL34" s="1047">
        <f t="shared" si="11"/>
        <v>0.2</v>
      </c>
      <c r="AM34" s="1047">
        <f t="shared" si="12"/>
        <v>0.3</v>
      </c>
      <c r="AN34" s="820" t="str">
        <f>+IF(C34="Corrupción","Moderado",IF(AM34&lt;=25%,"Bajo",IF(AM34&lt;=50%,"Moderado",IF(AM34&lt;=75%,"Alto",IF(AM34&gt;75%,"Extremo","")))))</f>
        <v>Moderado</v>
      </c>
      <c r="AO34" s="826" t="s">
        <v>59</v>
      </c>
      <c r="AP34" s="276">
        <v>1</v>
      </c>
      <c r="AQ34" s="276"/>
      <c r="AR34" s="512"/>
      <c r="AS34" s="513"/>
      <c r="AT34" s="513"/>
      <c r="AU34" s="276"/>
      <c r="AV34" s="276"/>
      <c r="AW34" s="276"/>
      <c r="AX34" s="276"/>
      <c r="AY34" s="276"/>
      <c r="AZ34" s="276"/>
      <c r="BA34" s="276"/>
      <c r="BB34" s="276"/>
      <c r="BC34" s="276"/>
      <c r="BD34" s="276"/>
      <c r="BE34" s="276"/>
      <c r="BF34" s="276"/>
      <c r="BG34" s="276"/>
    </row>
    <row r="35" spans="1:59" ht="87.6" customHeight="1" thickBot="1">
      <c r="A35" s="895"/>
      <c r="B35" s="969"/>
      <c r="C35" s="969"/>
      <c r="D35" s="969"/>
      <c r="E35" s="969"/>
      <c r="F35" s="673" t="s">
        <v>908</v>
      </c>
      <c r="G35" s="969"/>
      <c r="H35" s="1066"/>
      <c r="I35" s="1066"/>
      <c r="J35" s="969"/>
      <c r="K35" s="971"/>
      <c r="L35" s="927"/>
      <c r="M35" s="969"/>
      <c r="N35" s="927"/>
      <c r="O35" s="969"/>
      <c r="P35" s="927"/>
      <c r="Q35" s="969"/>
      <c r="R35" s="927"/>
      <c r="S35" s="1063"/>
      <c r="T35" s="1063"/>
      <c r="U35" s="927"/>
      <c r="V35" s="1045"/>
      <c r="W35" s="1051"/>
      <c r="X35" s="822"/>
      <c r="Y35" s="927"/>
      <c r="Z35" s="822"/>
      <c r="AA35" s="927"/>
      <c r="AB35" s="1053"/>
      <c r="AC35" s="969"/>
      <c r="AD35" s="969"/>
      <c r="AE35" s="927"/>
      <c r="AF35" s="969"/>
      <c r="AG35" s="927"/>
      <c r="AH35" s="927"/>
      <c r="AI35" s="110"/>
      <c r="AJ35" s="1049"/>
      <c r="AK35" s="1049"/>
      <c r="AL35" s="886"/>
      <c r="AM35" s="886"/>
      <c r="AN35" s="822"/>
      <c r="AO35" s="827"/>
      <c r="AP35" s="110">
        <v>2</v>
      </c>
      <c r="AQ35" s="110"/>
      <c r="AR35" s="514"/>
      <c r="AS35" s="515"/>
      <c r="AT35" s="515"/>
      <c r="AU35" s="110"/>
      <c r="AV35" s="110"/>
      <c r="AW35" s="110"/>
      <c r="AX35" s="110"/>
      <c r="AY35" s="110"/>
      <c r="AZ35" s="110"/>
      <c r="BA35" s="110"/>
      <c r="BB35" s="110"/>
      <c r="BC35" s="110"/>
      <c r="BD35" s="110"/>
      <c r="BE35" s="110"/>
      <c r="BF35" s="110"/>
      <c r="BG35" s="110"/>
    </row>
    <row r="36" spans="1:59" ht="234.75" customHeight="1" thickBot="1">
      <c r="A36" s="143" t="s">
        <v>51</v>
      </c>
      <c r="B36" s="124" t="s">
        <v>541</v>
      </c>
      <c r="C36" s="124" t="s">
        <v>58</v>
      </c>
      <c r="D36" s="124" t="s">
        <v>79</v>
      </c>
      <c r="E36" s="124" t="s">
        <v>80</v>
      </c>
      <c r="F36" s="125" t="s">
        <v>542</v>
      </c>
      <c r="G36" s="228" t="s">
        <v>457</v>
      </c>
      <c r="H36" s="125" t="s">
        <v>543</v>
      </c>
      <c r="I36" s="125" t="s">
        <v>544</v>
      </c>
      <c r="J36" s="229" t="s">
        <v>95</v>
      </c>
      <c r="K36" s="135">
        <v>1</v>
      </c>
      <c r="L36" s="173">
        <f t="shared" si="5"/>
        <v>0.5</v>
      </c>
      <c r="M36" s="135" t="s">
        <v>47</v>
      </c>
      <c r="N36" s="173">
        <f t="shared" si="6"/>
        <v>0.4</v>
      </c>
      <c r="O36" s="230" t="s">
        <v>76</v>
      </c>
      <c r="P36" s="173">
        <f t="shared" si="7"/>
        <v>0.8</v>
      </c>
      <c r="Q36" s="135" t="s">
        <v>73</v>
      </c>
      <c r="R36" s="173">
        <f t="shared" si="8"/>
        <v>0</v>
      </c>
      <c r="S36" s="231" t="s">
        <v>60</v>
      </c>
      <c r="T36" s="231" t="s">
        <v>73</v>
      </c>
      <c r="U36" s="173">
        <f t="shared" si="1"/>
        <v>0.8</v>
      </c>
      <c r="V36" s="419" t="str">
        <f t="shared" si="9"/>
        <v>Media</v>
      </c>
      <c r="W36" s="173">
        <f>+IFERROR(VLOOKUP(V36,formulas!$F$1:$G$6,2,FALSE),"")</f>
        <v>0.6</v>
      </c>
      <c r="X36" s="630" t="str">
        <f t="shared" si="10"/>
        <v>Mayor</v>
      </c>
      <c r="Y36" s="173">
        <f>+IFERROR(VLOOKUP(X36,formulas!$H$1:$I$6,2,FALSE),"")</f>
        <v>0.8</v>
      </c>
      <c r="Z36" s="630" t="str">
        <f>+IFERROR(VLOOKUP(V36&amp;X36,formulas!$C$2:$D$26,2,FALSE),"")</f>
        <v>Alto</v>
      </c>
      <c r="AA36" s="173">
        <f t="shared" si="2"/>
        <v>0.75</v>
      </c>
      <c r="AB36" s="225"/>
      <c r="AC36" s="126" t="s">
        <v>545</v>
      </c>
      <c r="AD36" s="135" t="s">
        <v>57</v>
      </c>
      <c r="AE36" s="173">
        <f t="shared" si="0"/>
        <v>0.25</v>
      </c>
      <c r="AF36" s="135" t="s">
        <v>229</v>
      </c>
      <c r="AG36" s="173">
        <f t="shared" si="3"/>
        <v>0.15</v>
      </c>
      <c r="AH36" s="173">
        <f t="shared" si="4"/>
        <v>0.4</v>
      </c>
      <c r="AI36" s="135" t="s">
        <v>230</v>
      </c>
      <c r="AJ36" s="135" t="s">
        <v>24</v>
      </c>
      <c r="AK36" s="135" t="s">
        <v>546</v>
      </c>
      <c r="AL36" s="205">
        <f t="shared" si="11"/>
        <v>0.30000000000000004</v>
      </c>
      <c r="AM36" s="205">
        <f t="shared" si="12"/>
        <v>0.44999999999999996</v>
      </c>
      <c r="AN36" s="630" t="str">
        <f>+IF(C36="Corrupción","Moderado",IF(AM36&lt;=25%,"Bajo",IF(AM36&lt;=50%,"Moderado",IF(AM36&lt;=75%,"Alto",IF(AM36&gt;75%,"Extremo","")))))</f>
        <v>Moderado</v>
      </c>
      <c r="AO36" s="174" t="s">
        <v>59</v>
      </c>
      <c r="AP36" s="189">
        <v>1</v>
      </c>
      <c r="AQ36" s="134"/>
      <c r="AR36" s="134"/>
      <c r="AS36" s="502"/>
      <c r="AT36" s="502"/>
      <c r="AU36" s="134"/>
      <c r="AV36" s="189"/>
      <c r="AW36" s="189"/>
      <c r="AX36" s="189"/>
      <c r="AY36" s="189"/>
      <c r="AZ36" s="189"/>
      <c r="BA36" s="189"/>
      <c r="BB36" s="189"/>
      <c r="BC36" s="189"/>
      <c r="BD36" s="189"/>
      <c r="BE36" s="189"/>
      <c r="BF36" s="189"/>
      <c r="BG36" s="189"/>
    </row>
    <row r="37" spans="1:59" ht="87.6" customHeight="1" thickBot="1">
      <c r="A37" s="123" t="s">
        <v>231</v>
      </c>
      <c r="B37" s="124" t="s">
        <v>29</v>
      </c>
      <c r="C37" s="124" t="s">
        <v>92</v>
      </c>
      <c r="D37" s="124" t="s">
        <v>79</v>
      </c>
      <c r="E37" s="124" t="s">
        <v>36</v>
      </c>
      <c r="F37" s="124" t="s">
        <v>547</v>
      </c>
      <c r="G37" s="124" t="s">
        <v>548</v>
      </c>
      <c r="H37" s="126" t="s">
        <v>549</v>
      </c>
      <c r="I37" s="124" t="s">
        <v>550</v>
      </c>
      <c r="J37" s="124" t="s">
        <v>66</v>
      </c>
      <c r="K37" s="124">
        <v>1</v>
      </c>
      <c r="L37" s="173">
        <f t="shared" si="5"/>
        <v>8.3333333333333329E-2</v>
      </c>
      <c r="M37" s="124" t="s">
        <v>73</v>
      </c>
      <c r="N37" s="173">
        <f t="shared" si="6"/>
        <v>0</v>
      </c>
      <c r="O37" s="124" t="s">
        <v>31</v>
      </c>
      <c r="P37" s="173">
        <f t="shared" si="7"/>
        <v>0.2</v>
      </c>
      <c r="Q37" s="124" t="s">
        <v>73</v>
      </c>
      <c r="R37" s="173">
        <f t="shared" si="8"/>
        <v>0</v>
      </c>
      <c r="S37" s="127" t="s">
        <v>60</v>
      </c>
      <c r="T37" s="127" t="s">
        <v>45</v>
      </c>
      <c r="U37" s="173">
        <f t="shared" si="1"/>
        <v>0.2</v>
      </c>
      <c r="V37" s="419" t="str">
        <f t="shared" si="9"/>
        <v>Muy baja</v>
      </c>
      <c r="W37" s="173">
        <f>+IFERROR(VLOOKUP(V37,formulas!$F$1:$G$6,2,FALSE),"")</f>
        <v>0.2</v>
      </c>
      <c r="X37" s="630" t="str">
        <f t="shared" si="10"/>
        <v>Leve</v>
      </c>
      <c r="Y37" s="173">
        <f>+IFERROR(VLOOKUP(X37,formulas!$H$1:$I$6,2,FALSE),"")</f>
        <v>0.2</v>
      </c>
      <c r="Z37" s="630" t="str">
        <f>+IFERROR(VLOOKUP(V37&amp;X37,formulas!$C$2:$D$26,2,FALSE),"")</f>
        <v>Bajo</v>
      </c>
      <c r="AA37" s="173">
        <f t="shared" si="2"/>
        <v>0.25</v>
      </c>
      <c r="AB37" s="223" t="s">
        <v>551</v>
      </c>
      <c r="AC37" s="126" t="s">
        <v>552</v>
      </c>
      <c r="AD37" s="124" t="s">
        <v>57</v>
      </c>
      <c r="AE37" s="173">
        <f t="shared" si="0"/>
        <v>0.25</v>
      </c>
      <c r="AF37" s="124" t="s">
        <v>553</v>
      </c>
      <c r="AG37" s="173">
        <f t="shared" si="3"/>
        <v>0.25</v>
      </c>
      <c r="AH37" s="173">
        <f t="shared" si="4"/>
        <v>0.5</v>
      </c>
      <c r="AI37" s="189"/>
      <c r="AJ37" s="124" t="s">
        <v>24</v>
      </c>
      <c r="AK37" s="124" t="s">
        <v>554</v>
      </c>
      <c r="AL37" s="205">
        <f t="shared" si="11"/>
        <v>0.125</v>
      </c>
      <c r="AM37" s="205">
        <f t="shared" si="12"/>
        <v>0.125</v>
      </c>
      <c r="AN37" s="630" t="str">
        <f>+IF(C37="Corrupción","Moderado",IF(AM37&lt;=25%,"Bajo",IF(AM37&lt;=50%,"Moderado",IF(AM37&lt;=75%,"Alto",IF(AM37&gt;75%,"Extremo","")))))</f>
        <v>Bajo</v>
      </c>
      <c r="AO37" s="174" t="s">
        <v>59</v>
      </c>
      <c r="AP37" s="189">
        <v>1</v>
      </c>
      <c r="AQ37" s="504"/>
      <c r="AR37" s="124"/>
      <c r="AS37" s="149"/>
      <c r="AT37" s="149"/>
      <c r="AU37" s="227"/>
      <c r="AV37" s="189"/>
      <c r="AW37" s="189"/>
      <c r="AX37" s="189"/>
      <c r="AY37" s="189"/>
      <c r="AZ37" s="189"/>
      <c r="BA37" s="189"/>
      <c r="BB37" s="189"/>
      <c r="BC37" s="189"/>
      <c r="BD37" s="189"/>
      <c r="BE37" s="189"/>
      <c r="BF37" s="189"/>
      <c r="BG37" s="189"/>
    </row>
  </sheetData>
  <mergeCells count="381">
    <mergeCell ref="AV1:BE1"/>
    <mergeCell ref="AC2:AC3"/>
    <mergeCell ref="AD2:AG2"/>
    <mergeCell ref="AH2:AH3"/>
    <mergeCell ref="AI2:AK2"/>
    <mergeCell ref="T4:T6"/>
    <mergeCell ref="AR4:AR5"/>
    <mergeCell ref="AS4:AS5"/>
    <mergeCell ref="AP2:AQ3"/>
    <mergeCell ref="AR2:AR3"/>
    <mergeCell ref="AS2:AS3"/>
    <mergeCell ref="AT2:AT3"/>
    <mergeCell ref="A1:T2"/>
    <mergeCell ref="U1:AB2"/>
    <mergeCell ref="AC1:AK1"/>
    <mergeCell ref="AM1:AO1"/>
    <mergeCell ref="AP1:AU1"/>
    <mergeCell ref="F4:F6"/>
    <mergeCell ref="P4:P6"/>
    <mergeCell ref="Q4:Q6"/>
    <mergeCell ref="AU2:AU3"/>
    <mergeCell ref="K4:K6"/>
    <mergeCell ref="M4:M6"/>
    <mergeCell ref="N4:N6"/>
    <mergeCell ref="AQ30:AQ31"/>
    <mergeCell ref="AV2:AZ2"/>
    <mergeCell ref="BA2:BE2"/>
    <mergeCell ref="G3:H3"/>
    <mergeCell ref="AJ3:AK3"/>
    <mergeCell ref="AL2:AN3"/>
    <mergeCell ref="AO2:AO3"/>
    <mergeCell ref="L4:L6"/>
    <mergeCell ref="AT4:AT5"/>
    <mergeCell ref="AU4:AU5"/>
    <mergeCell ref="G4:G6"/>
    <mergeCell ref="H4:H6"/>
    <mergeCell ref="I4:I6"/>
    <mergeCell ref="J4:J6"/>
    <mergeCell ref="AQ4:AQ5"/>
    <mergeCell ref="U4:U6"/>
    <mergeCell ref="V4:V6"/>
    <mergeCell ref="W4:W6"/>
    <mergeCell ref="X4:X6"/>
    <mergeCell ref="Y4:Y6"/>
    <mergeCell ref="Z4:Z6"/>
    <mergeCell ref="AA4:AA6"/>
    <mergeCell ref="H7:H11"/>
    <mergeCell ref="I7:I11"/>
    <mergeCell ref="O4:O6"/>
    <mergeCell ref="R4:R6"/>
    <mergeCell ref="S4:S6"/>
    <mergeCell ref="AB4:AB6"/>
    <mergeCell ref="I12:I14"/>
    <mergeCell ref="J12:J14"/>
    <mergeCell ref="K12:K14"/>
    <mergeCell ref="A7:A11"/>
    <mergeCell ref="B7:B11"/>
    <mergeCell ref="C7:C11"/>
    <mergeCell ref="D7:D11"/>
    <mergeCell ref="E7:E11"/>
    <mergeCell ref="F7:F11"/>
    <mergeCell ref="G7:G11"/>
    <mergeCell ref="J7:J11"/>
    <mergeCell ref="K7:K11"/>
    <mergeCell ref="A12:A14"/>
    <mergeCell ref="B12:B14"/>
    <mergeCell ref="C12:C14"/>
    <mergeCell ref="D12:D14"/>
    <mergeCell ref="E12:E14"/>
    <mergeCell ref="F12:F14"/>
    <mergeCell ref="G12:G14"/>
    <mergeCell ref="H12:H14"/>
    <mergeCell ref="A4:A6"/>
    <mergeCell ref="B4:B6"/>
    <mergeCell ref="C4:C6"/>
    <mergeCell ref="D4:D6"/>
    <mergeCell ref="E4:E6"/>
    <mergeCell ref="H15:H16"/>
    <mergeCell ref="C15:C16"/>
    <mergeCell ref="D15:D16"/>
    <mergeCell ref="E15:E16"/>
    <mergeCell ref="F15:F16"/>
    <mergeCell ref="A15:A16"/>
    <mergeCell ref="B15:B16"/>
    <mergeCell ref="G15:G16"/>
    <mergeCell ref="A21:A22"/>
    <mergeCell ref="B21:B22"/>
    <mergeCell ref="C21:C22"/>
    <mergeCell ref="D21:D22"/>
    <mergeCell ref="E21:E22"/>
    <mergeCell ref="F21:F22"/>
    <mergeCell ref="G21:G22"/>
    <mergeCell ref="A17:A19"/>
    <mergeCell ref="B17:B19"/>
    <mergeCell ref="C17:C19"/>
    <mergeCell ref="D17:D19"/>
    <mergeCell ref="E17:E19"/>
    <mergeCell ref="F17:F19"/>
    <mergeCell ref="G17:G19"/>
    <mergeCell ref="K15:K16"/>
    <mergeCell ref="I15:I16"/>
    <mergeCell ref="H21:H22"/>
    <mergeCell ref="I21:I22"/>
    <mergeCell ref="J21:J22"/>
    <mergeCell ref="K21:K22"/>
    <mergeCell ref="H17:H19"/>
    <mergeCell ref="I17:I19"/>
    <mergeCell ref="J17:J19"/>
    <mergeCell ref="K17:K19"/>
    <mergeCell ref="A25:A26"/>
    <mergeCell ref="B25:B26"/>
    <mergeCell ref="C25:C26"/>
    <mergeCell ref="D25:D26"/>
    <mergeCell ref="E25:E26"/>
    <mergeCell ref="G25:G26"/>
    <mergeCell ref="H30:H31"/>
    <mergeCell ref="A28:A29"/>
    <mergeCell ref="B28:B29"/>
    <mergeCell ref="C28:C29"/>
    <mergeCell ref="D28:D29"/>
    <mergeCell ref="E28:E29"/>
    <mergeCell ref="G28:G29"/>
    <mergeCell ref="A30:A31"/>
    <mergeCell ref="B30:B31"/>
    <mergeCell ref="C30:C31"/>
    <mergeCell ref="D30:D31"/>
    <mergeCell ref="E30:E31"/>
    <mergeCell ref="G30:G31"/>
    <mergeCell ref="H25:H26"/>
    <mergeCell ref="A32:A33"/>
    <mergeCell ref="B32:B33"/>
    <mergeCell ref="C32:C33"/>
    <mergeCell ref="D32:D33"/>
    <mergeCell ref="E32:E33"/>
    <mergeCell ref="G32:G33"/>
    <mergeCell ref="A34:A35"/>
    <mergeCell ref="B34:B35"/>
    <mergeCell ref="C34:C35"/>
    <mergeCell ref="D34:D35"/>
    <mergeCell ref="E34:E35"/>
    <mergeCell ref="G34:G35"/>
    <mergeCell ref="H34:H35"/>
    <mergeCell ref="I34:I35"/>
    <mergeCell ref="J34:J35"/>
    <mergeCell ref="K34:K35"/>
    <mergeCell ref="L7:L11"/>
    <mergeCell ref="L12:L14"/>
    <mergeCell ref="L15:L16"/>
    <mergeCell ref="L17:L19"/>
    <mergeCell ref="L21:L22"/>
    <mergeCell ref="H32:H33"/>
    <mergeCell ref="I32:I33"/>
    <mergeCell ref="J32:J33"/>
    <mergeCell ref="K32:K33"/>
    <mergeCell ref="K30:K31"/>
    <mergeCell ref="H28:H29"/>
    <mergeCell ref="I28:I29"/>
    <mergeCell ref="J28:J29"/>
    <mergeCell ref="K28:K29"/>
    <mergeCell ref="I30:I31"/>
    <mergeCell ref="J30:J31"/>
    <mergeCell ref="I25:I26"/>
    <mergeCell ref="J25:J26"/>
    <mergeCell ref="K25:K26"/>
    <mergeCell ref="J15:J16"/>
    <mergeCell ref="M7:M11"/>
    <mergeCell ref="M12:M14"/>
    <mergeCell ref="M15:M16"/>
    <mergeCell ref="M17:M19"/>
    <mergeCell ref="M21:M22"/>
    <mergeCell ref="M25:M26"/>
    <mergeCell ref="M28:M29"/>
    <mergeCell ref="M30:M31"/>
    <mergeCell ref="M32:M33"/>
    <mergeCell ref="M34:M35"/>
    <mergeCell ref="L25:L26"/>
    <mergeCell ref="L28:L29"/>
    <mergeCell ref="L30:L31"/>
    <mergeCell ref="L32:L33"/>
    <mergeCell ref="L34:L35"/>
    <mergeCell ref="O30:O31"/>
    <mergeCell ref="O32:O33"/>
    <mergeCell ref="O34:O35"/>
    <mergeCell ref="O7:O11"/>
    <mergeCell ref="O12:O14"/>
    <mergeCell ref="O15:O16"/>
    <mergeCell ref="Q34:Q35"/>
    <mergeCell ref="P17:P19"/>
    <mergeCell ref="R15:R16"/>
    <mergeCell ref="R12:R14"/>
    <mergeCell ref="Q15:Q16"/>
    <mergeCell ref="N17:N19"/>
    <mergeCell ref="N12:N14"/>
    <mergeCell ref="N7:N11"/>
    <mergeCell ref="O17:O19"/>
    <mergeCell ref="N34:N35"/>
    <mergeCell ref="N32:N33"/>
    <mergeCell ref="N30:N31"/>
    <mergeCell ref="N28:N29"/>
    <mergeCell ref="N25:N26"/>
    <mergeCell ref="N21:N22"/>
    <mergeCell ref="O21:O22"/>
    <mergeCell ref="O25:O26"/>
    <mergeCell ref="O28:O29"/>
    <mergeCell ref="P34:P35"/>
    <mergeCell ref="P32:P33"/>
    <mergeCell ref="R17:R19"/>
    <mergeCell ref="T7:T11"/>
    <mergeCell ref="S12:S14"/>
    <mergeCell ref="T12:T14"/>
    <mergeCell ref="S15:S16"/>
    <mergeCell ref="T15:T16"/>
    <mergeCell ref="P7:P11"/>
    <mergeCell ref="Q7:Q11"/>
    <mergeCell ref="Q12:Q14"/>
    <mergeCell ref="P30:P31"/>
    <mergeCell ref="P28:P29"/>
    <mergeCell ref="P25:P26"/>
    <mergeCell ref="P21:P22"/>
    <mergeCell ref="Q21:Q22"/>
    <mergeCell ref="Q25:Q26"/>
    <mergeCell ref="S7:S11"/>
    <mergeCell ref="P15:P16"/>
    <mergeCell ref="P12:P14"/>
    <mergeCell ref="W28:W29"/>
    <mergeCell ref="AA32:AA33"/>
    <mergeCell ref="S28:S29"/>
    <mergeCell ref="T28:T29"/>
    <mergeCell ref="Y34:Y35"/>
    <mergeCell ref="Z34:Z35"/>
    <mergeCell ref="AA28:AA29"/>
    <mergeCell ref="U34:U35"/>
    <mergeCell ref="V34:V35"/>
    <mergeCell ref="W34:W35"/>
    <mergeCell ref="S32:S33"/>
    <mergeCell ref="T32:T33"/>
    <mergeCell ref="S34:S35"/>
    <mergeCell ref="T34:T35"/>
    <mergeCell ref="W25:W26"/>
    <mergeCell ref="U21:U22"/>
    <mergeCell ref="X34:X35"/>
    <mergeCell ref="V21:V22"/>
    <mergeCell ref="W21:W22"/>
    <mergeCell ref="X17:X19"/>
    <mergeCell ref="Q17:Q19"/>
    <mergeCell ref="R25:R26"/>
    <mergeCell ref="R21:R22"/>
    <mergeCell ref="S17:S19"/>
    <mergeCell ref="T17:T19"/>
    <mergeCell ref="S21:S22"/>
    <mergeCell ref="T21:T22"/>
    <mergeCell ref="S25:S26"/>
    <mergeCell ref="T25:T26"/>
    <mergeCell ref="Q28:Q29"/>
    <mergeCell ref="Q30:Q31"/>
    <mergeCell ref="Q32:Q33"/>
    <mergeCell ref="R34:R35"/>
    <mergeCell ref="R32:R33"/>
    <mergeCell ref="R30:R31"/>
    <mergeCell ref="R28:R29"/>
    <mergeCell ref="U28:U29"/>
    <mergeCell ref="V28:V29"/>
    <mergeCell ref="AA34:AA35"/>
    <mergeCell ref="U32:U33"/>
    <mergeCell ref="V32:V33"/>
    <mergeCell ref="W32:W33"/>
    <mergeCell ref="X32:X33"/>
    <mergeCell ref="Y32:Y33"/>
    <mergeCell ref="Z32:Z33"/>
    <mergeCell ref="X30:X31"/>
    <mergeCell ref="Y30:Y31"/>
    <mergeCell ref="Z30:Z31"/>
    <mergeCell ref="U30:U31"/>
    <mergeCell ref="V30:V31"/>
    <mergeCell ref="W30:W31"/>
    <mergeCell ref="AA30:AA31"/>
    <mergeCell ref="U15:U16"/>
    <mergeCell ref="V15:V16"/>
    <mergeCell ref="W15:W16"/>
    <mergeCell ref="X15:X16"/>
    <mergeCell ref="Y15:Y16"/>
    <mergeCell ref="Z15:Z16"/>
    <mergeCell ref="AA15:AA16"/>
    <mergeCell ref="R7:R11"/>
    <mergeCell ref="S30:S31"/>
    <mergeCell ref="T30:T31"/>
    <mergeCell ref="X25:X26"/>
    <mergeCell ref="Y25:Y26"/>
    <mergeCell ref="Z25:Z26"/>
    <mergeCell ref="X28:X29"/>
    <mergeCell ref="Y28:Y29"/>
    <mergeCell ref="Z28:Z29"/>
    <mergeCell ref="U17:U19"/>
    <mergeCell ref="V17:V19"/>
    <mergeCell ref="U7:U11"/>
    <mergeCell ref="V7:V11"/>
    <mergeCell ref="AA21:AA22"/>
    <mergeCell ref="W17:W19"/>
    <mergeCell ref="U25:U26"/>
    <mergeCell ref="V25:V26"/>
    <mergeCell ref="W7:W11"/>
    <mergeCell ref="X7:X11"/>
    <mergeCell ref="Y7:Y11"/>
    <mergeCell ref="Z7:Z11"/>
    <mergeCell ref="AA7:AA11"/>
    <mergeCell ref="AB7:AB11"/>
    <mergeCell ref="U12:U14"/>
    <mergeCell ref="V12:V14"/>
    <mergeCell ref="W12:W14"/>
    <mergeCell ref="X12:X14"/>
    <mergeCell ref="Y12:Y14"/>
    <mergeCell ref="AA12:AA14"/>
    <mergeCell ref="AB12:AB14"/>
    <mergeCell ref="Y17:Y19"/>
    <mergeCell ref="Z17:Z19"/>
    <mergeCell ref="X21:X22"/>
    <mergeCell ref="Y21:Y22"/>
    <mergeCell ref="Z21:Z22"/>
    <mergeCell ref="Z12:Z14"/>
    <mergeCell ref="AB25:AB26"/>
    <mergeCell ref="AB28:AB29"/>
    <mergeCell ref="AA17:AA19"/>
    <mergeCell ref="AA25:AA26"/>
    <mergeCell ref="AB17:AB19"/>
    <mergeCell ref="AB21:AB22"/>
    <mergeCell ref="AB15:AB16"/>
    <mergeCell ref="AE30:AE31"/>
    <mergeCell ref="AE32:AE33"/>
    <mergeCell ref="AE34:AE35"/>
    <mergeCell ref="AF30:AF31"/>
    <mergeCell ref="AF32:AF33"/>
    <mergeCell ref="AF34:AF35"/>
    <mergeCell ref="AJ34:AJ35"/>
    <mergeCell ref="AB30:AB31"/>
    <mergeCell ref="AB32:AB33"/>
    <mergeCell ref="AB34:AB35"/>
    <mergeCell ref="AC30:AC31"/>
    <mergeCell ref="AD30:AD31"/>
    <mergeCell ref="AC32:AC33"/>
    <mergeCell ref="AD32:AD33"/>
    <mergeCell ref="AC34:AC35"/>
    <mergeCell ref="AD34:AD35"/>
    <mergeCell ref="AK34:AK35"/>
    <mergeCell ref="AG34:AG35"/>
    <mergeCell ref="AH34:AH35"/>
    <mergeCell ref="AG32:AG33"/>
    <mergeCell ref="AH32:AH33"/>
    <mergeCell ref="AL30:AL31"/>
    <mergeCell ref="AM30:AM31"/>
    <mergeCell ref="AN32:AN33"/>
    <mergeCell ref="AO32:AO33"/>
    <mergeCell ref="AJ30:AJ31"/>
    <mergeCell ref="AK30:AK31"/>
    <mergeCell ref="AJ32:AJ33"/>
    <mergeCell ref="AK32:AK33"/>
    <mergeCell ref="AG30:AG31"/>
    <mergeCell ref="AH30:AH31"/>
    <mergeCell ref="AN25:AN26"/>
    <mergeCell ref="AO25:AO26"/>
    <mergeCell ref="AN28:AN29"/>
    <mergeCell ref="AN30:AN31"/>
    <mergeCell ref="AO30:AO31"/>
    <mergeCell ref="AO28:AO29"/>
    <mergeCell ref="AN34:AN35"/>
    <mergeCell ref="AO34:AO35"/>
    <mergeCell ref="AL32:AL33"/>
    <mergeCell ref="AM32:AM33"/>
    <mergeCell ref="AL34:AL35"/>
    <mergeCell ref="AM34:AM35"/>
    <mergeCell ref="AN21:AN22"/>
    <mergeCell ref="AO21:AO22"/>
    <mergeCell ref="AN4:AN6"/>
    <mergeCell ref="AN7:AN11"/>
    <mergeCell ref="AN12:AN14"/>
    <mergeCell ref="AO12:AO14"/>
    <mergeCell ref="AO4:AO6"/>
    <mergeCell ref="AO7:AO11"/>
    <mergeCell ref="AO15:AO16"/>
    <mergeCell ref="AN15:AN16"/>
    <mergeCell ref="AO17:AO19"/>
    <mergeCell ref="AN17:AN19"/>
  </mergeCells>
  <conditionalFormatting sqref="V4 V7 V12 V15 V17 V20:V21 V23:V25 V27:V28 V30 V32 V34 V36:V37">
    <cfRule type="expression" dxfId="273" priority="80" stopIfTrue="1">
      <formula>NOT(ISERROR(SEARCH("Muy alta",V4)))</formula>
    </cfRule>
    <cfRule type="expression" dxfId="272" priority="81" stopIfTrue="1">
      <formula>NOT(ISERROR(SEARCH("Alta",V4)))</formula>
    </cfRule>
    <cfRule type="expression" dxfId="271" priority="82" stopIfTrue="1">
      <formula>NOT(ISERROR(SEARCH("Media",V4)))</formula>
    </cfRule>
  </conditionalFormatting>
  <conditionalFormatting sqref="X4 X7 X12 X15 X17 X20:X21 X23:X25 X27:X28 X30 X32 X34 X36:X37">
    <cfRule type="containsText" dxfId="270" priority="21" operator="containsText" text="Catastrófico">
      <formula>NOT(ISERROR(SEARCH("Catastrófico",X4)))</formula>
    </cfRule>
    <cfRule type="containsText" dxfId="269" priority="22" operator="containsText" text="Mayor">
      <formula>NOT(ISERROR(SEARCH("Mayor",X4)))</formula>
    </cfRule>
    <cfRule type="containsText" dxfId="268" priority="23" operator="containsText" text="Moderado">
      <formula>NOT(ISERROR(SEARCH("Moderado",X4)))</formula>
    </cfRule>
    <cfRule type="containsText" dxfId="267" priority="24" operator="containsText" text="Menor">
      <formula>NOT(ISERROR(SEARCH("Menor",X4)))</formula>
    </cfRule>
    <cfRule type="containsText" dxfId="266" priority="25" operator="containsText" text="Leve">
      <formula>NOT(ISERROR(SEARCH("Leve",X4)))</formula>
    </cfRule>
  </conditionalFormatting>
  <conditionalFormatting sqref="Z4 Z7 Z12 Z15 Z17 Z20:Z21 Z23:Z25 Z27:Z28 Z30 Z32 Z34 Z36:Z37">
    <cfRule type="containsText" dxfId="265" priority="17" operator="containsText" text="Alto">
      <formula>NOT(ISERROR(SEARCH("Alto",Z4)))</formula>
    </cfRule>
    <cfRule type="containsText" dxfId="264" priority="18" operator="containsText" text="Moderado">
      <formula>NOT(ISERROR(SEARCH("Moderado",Z4)))</formula>
    </cfRule>
    <cfRule type="containsText" dxfId="263" priority="19" operator="containsText" text="Extremo">
      <formula>NOT(ISERROR(SEARCH("Extremo",Z4)))</formula>
    </cfRule>
    <cfRule type="containsText" dxfId="262" priority="20" operator="containsText" text="Bajo">
      <formula>NOT(ISERROR(SEARCH("Bajo",Z4)))</formula>
    </cfRule>
  </conditionalFormatting>
  <conditionalFormatting sqref="AC7 AC15:AD15">
    <cfRule type="containsText" dxfId="261" priority="65" operator="containsText" text="BAJA">
      <formula>NOT(ISERROR(SEARCH("BAJA",AC7)))</formula>
    </cfRule>
    <cfRule type="containsText" dxfId="260" priority="66" operator="containsText" text="MEDIA">
      <formula>NOT(ISERROR(SEARCH("MEDIA",AC7)))</formula>
    </cfRule>
    <cfRule type="containsText" dxfId="259" priority="67" operator="containsText" text="ALTA">
      <formula>NOT(ISERROR(SEARCH("ALTA",AC7)))</formula>
    </cfRule>
  </conditionalFormatting>
  <conditionalFormatting sqref="AC17:AC18 AC21:AC22 AC23:AD23">
    <cfRule type="containsText" dxfId="258" priority="64" operator="containsText" text="ALTA">
      <formula>NOT(ISERROR(SEARCH("ALTA",AC17)))</formula>
    </cfRule>
  </conditionalFormatting>
  <conditionalFormatting sqref="AC17:AC18 AC21:AC23">
    <cfRule type="containsText" dxfId="257" priority="62" operator="containsText" text="BAJA">
      <formula>NOT(ISERROR(SEARCH("BAJA",AC17)))</formula>
    </cfRule>
    <cfRule type="containsText" dxfId="256" priority="63" operator="containsText" text="MEDIA">
      <formula>NOT(ISERROR(SEARCH("MEDIA",AC17)))</formula>
    </cfRule>
  </conditionalFormatting>
  <conditionalFormatting sqref="AF15">
    <cfRule type="containsText" dxfId="255" priority="59" operator="containsText" text="BAJA">
      <formula>NOT(ISERROR(SEARCH("BAJA",AF15)))</formula>
    </cfRule>
    <cfRule type="containsText" dxfId="254" priority="60" operator="containsText" text="MEDIA">
      <formula>NOT(ISERROR(SEARCH("MEDIA",AF15)))</formula>
    </cfRule>
    <cfRule type="containsText" dxfId="253" priority="61" operator="containsText" text="ALTA">
      <formula>NOT(ISERROR(SEARCH("ALTA",AF15)))</formula>
    </cfRule>
  </conditionalFormatting>
  <conditionalFormatting sqref="AF23">
    <cfRule type="containsText" dxfId="252" priority="58" operator="containsText" text="ALTA">
      <formula>NOT(ISERROR(SEARCH("ALTA",AF23)))</formula>
    </cfRule>
  </conditionalFormatting>
  <conditionalFormatting sqref="AI4:AI6">
    <cfRule type="containsText" dxfId="251" priority="77" operator="containsText" text="BAJA">
      <formula>NOT(ISERROR(SEARCH("BAJA",AI4)))</formula>
    </cfRule>
    <cfRule type="containsText" dxfId="250" priority="78" operator="containsText" text="MEDIA">
      <formula>NOT(ISERROR(SEARCH("MEDIA",AI4)))</formula>
    </cfRule>
    <cfRule type="containsText" dxfId="249" priority="79" operator="containsText" text="ALTA">
      <formula>NOT(ISERROR(SEARCH("ALTA",AI4)))</formula>
    </cfRule>
  </conditionalFormatting>
  <conditionalFormatting sqref="AI36">
    <cfRule type="containsText" dxfId="248" priority="34" operator="containsText" text="BAJA">
      <formula>NOT(ISERROR(SEARCH("BAJA",AI36)))</formula>
    </cfRule>
  </conditionalFormatting>
  <conditionalFormatting sqref="AJ17:AK17 AJ20:AK20">
    <cfRule type="containsText" dxfId="247" priority="45" operator="containsText" text="BAJA">
      <formula>NOT(ISERROR(SEARCH("BAJA",AJ17)))</formula>
    </cfRule>
    <cfRule type="containsText" dxfId="246" priority="46" operator="containsText" text="MEDIA">
      <formula>NOT(ISERROR(SEARCH("MEDIA",AJ17)))</formula>
    </cfRule>
  </conditionalFormatting>
  <conditionalFormatting sqref="AJ21:AK21">
    <cfRule type="containsText" dxfId="245" priority="38" operator="containsText" text="ALTA">
      <formula>NOT(ISERROR(SEARCH("ALTA",AJ21)))</formula>
    </cfRule>
  </conditionalFormatting>
  <conditionalFormatting sqref="AJ23:AK24">
    <cfRule type="containsText" dxfId="244" priority="37" operator="containsText" text="ALTA">
      <formula>NOT(ISERROR(SEARCH("ALTA",AJ23)))</formula>
    </cfRule>
  </conditionalFormatting>
  <conditionalFormatting sqref="AJ24:AK24">
    <cfRule type="containsText" dxfId="243" priority="35" operator="containsText" text="BAJA">
      <formula>NOT(ISERROR(SEARCH("BAJA",AJ24)))</formula>
    </cfRule>
    <cfRule type="containsText" dxfId="242" priority="36" operator="containsText" text="MEDIA">
      <formula>NOT(ISERROR(SEARCH("MEDIA",AJ24)))</formula>
    </cfRule>
  </conditionalFormatting>
  <conditionalFormatting sqref="AK7:AK8">
    <cfRule type="containsText" dxfId="241" priority="53" operator="containsText" text="BAJA">
      <formula>NOT(ISERROR(SEARCH("BAJA",AK7)))</formula>
    </cfRule>
    <cfRule type="containsText" dxfId="240" priority="54" operator="containsText" text="MEDIA">
      <formula>NOT(ISERROR(SEARCH("MEDIA",AK7)))</formula>
    </cfRule>
    <cfRule type="containsText" dxfId="239" priority="55" operator="containsText" text="ALTA">
      <formula>NOT(ISERROR(SEARCH("ALTA",AK7)))</formula>
    </cfRule>
  </conditionalFormatting>
  <conditionalFormatting sqref="AK12">
    <cfRule type="containsText" dxfId="238" priority="50" operator="containsText" text="BAJA">
      <formula>NOT(ISERROR(SEARCH("BAJA",AK12)))</formula>
    </cfRule>
    <cfRule type="containsText" dxfId="237" priority="51" operator="containsText" text="MEDIA">
      <formula>NOT(ISERROR(SEARCH("MEDIA",AK12)))</formula>
    </cfRule>
    <cfRule type="containsText" dxfId="236" priority="52" operator="containsText" text="ALTA">
      <formula>NOT(ISERROR(SEARCH("ALTA",AK12)))</formula>
    </cfRule>
  </conditionalFormatting>
  <conditionalFormatting sqref="AK15">
    <cfRule type="containsText" dxfId="235" priority="47" operator="containsText" text="BAJA">
      <formula>NOT(ISERROR(SEARCH("BAJA",AK15)))</formula>
    </cfRule>
    <cfRule type="containsText" dxfId="234" priority="48" operator="containsText" text="MEDIA">
      <formula>NOT(ISERROR(SEARCH("MEDIA",AK15)))</formula>
    </cfRule>
    <cfRule type="containsText" dxfId="233" priority="49" operator="containsText" text="ALTA">
      <formula>NOT(ISERROR(SEARCH("ALTA",AK15)))</formula>
    </cfRule>
  </conditionalFormatting>
  <conditionalFormatting sqref="AK17:AK19">
    <cfRule type="containsText" dxfId="232" priority="44" operator="containsText" text="ALTA">
      <formula>NOT(ISERROR(SEARCH("ALTA",AK17)))</formula>
    </cfRule>
  </conditionalFormatting>
  <conditionalFormatting sqref="AK18:AK19">
    <cfRule type="containsText" dxfId="231" priority="42" operator="containsText" text="BAJA">
      <formula>NOT(ISERROR(SEARCH("BAJA",AK18)))</formula>
    </cfRule>
    <cfRule type="containsText" dxfId="230" priority="43" operator="containsText" text="MEDIA">
      <formula>NOT(ISERROR(SEARCH("MEDIA",AK18)))</formula>
    </cfRule>
  </conditionalFormatting>
  <conditionalFormatting sqref="AK20:AK22">
    <cfRule type="containsText" dxfId="229" priority="41" operator="containsText" text="ALTA">
      <formula>NOT(ISERROR(SEARCH("ALTA",AK20)))</formula>
    </cfRule>
  </conditionalFormatting>
  <conditionalFormatting sqref="AK21:AK23">
    <cfRule type="containsText" dxfId="228" priority="39" operator="containsText" text="BAJA">
      <formula>NOT(ISERROR(SEARCH("BAJA",AK21)))</formula>
    </cfRule>
    <cfRule type="containsText" dxfId="227" priority="40" operator="containsText" text="MEDIA">
      <formula>NOT(ISERROR(SEARCH("MEDIA",AK21)))</formula>
    </cfRule>
  </conditionalFormatting>
  <conditionalFormatting sqref="AR24">
    <cfRule type="containsText" dxfId="226" priority="31" operator="containsText" text="BAJA">
      <formula>NOT(ISERROR(SEARCH("BAJA",AR24)))</formula>
    </cfRule>
    <cfRule type="containsText" dxfId="225" priority="32" operator="containsText" text="MEDIA">
      <formula>NOT(ISERROR(SEARCH("MEDIA",AR24)))</formula>
    </cfRule>
    <cfRule type="containsText" dxfId="224" priority="33" operator="containsText" text="ALTA">
      <formula>NOT(ISERROR(SEARCH("ALTA",AR24)))</formula>
    </cfRule>
  </conditionalFormatting>
  <conditionalFormatting sqref="AC8">
    <cfRule type="containsText" dxfId="223" priority="10" operator="containsText" text="BAJA">
      <formula>NOT(ISERROR(SEARCH("BAJA",AC8)))</formula>
    </cfRule>
    <cfRule type="containsText" dxfId="222" priority="11" operator="containsText" text="MEDIA">
      <formula>NOT(ISERROR(SEARCH("MEDIA",AC8)))</formula>
    </cfRule>
    <cfRule type="containsText" dxfId="221" priority="12" operator="containsText" text="ALTA">
      <formula>NOT(ISERROR(SEARCH("ALTA",AC8)))</formula>
    </cfRule>
  </conditionalFormatting>
  <conditionalFormatting sqref="AC11">
    <cfRule type="containsText" dxfId="220" priority="7" operator="containsText" text="BAJA">
      <formula>NOT(ISERROR(SEARCH("BAJA",AC11)))</formula>
    </cfRule>
    <cfRule type="containsText" dxfId="219" priority="8" operator="containsText" text="MEDIA">
      <formula>NOT(ISERROR(SEARCH("MEDIA",AC11)))</formula>
    </cfRule>
    <cfRule type="containsText" dxfId="218" priority="9" operator="containsText" text="ALTA">
      <formula>NOT(ISERROR(SEARCH("ALTA",AC11)))</formula>
    </cfRule>
  </conditionalFormatting>
  <conditionalFormatting sqref="AC12">
    <cfRule type="containsText" dxfId="217" priority="4" operator="containsText" text="BAJA">
      <formula>NOT(ISERROR(SEARCH("BAJA",AC12)))</formula>
    </cfRule>
    <cfRule type="containsText" dxfId="216" priority="5" operator="containsText" text="MEDIA">
      <formula>NOT(ISERROR(SEARCH("MEDIA",AC12)))</formula>
    </cfRule>
    <cfRule type="containsText" dxfId="215" priority="6" operator="containsText" text="ALTA">
      <formula>NOT(ISERROR(SEARCH("ALTA",AC12)))</formula>
    </cfRule>
  </conditionalFormatting>
  <conditionalFormatting sqref="AC16">
    <cfRule type="containsText" dxfId="214" priority="1" operator="containsText" text="BAJA">
      <formula>NOT(ISERROR(SEARCH("BAJA",AC16)))</formula>
    </cfRule>
    <cfRule type="containsText" dxfId="213" priority="2" operator="containsText" text="MEDIA">
      <formula>NOT(ISERROR(SEARCH("MEDIA",AC16)))</formula>
    </cfRule>
    <cfRule type="containsText" dxfId="212" priority="3" operator="containsText" text="ALTA">
      <formula>NOT(ISERROR(SEARCH("ALTA",AC16)))</formula>
    </cfRule>
  </conditionalFormatting>
  <dataValidations count="3">
    <dataValidation type="list" allowBlank="1" showInputMessage="1" showErrorMessage="1" sqref="A4:A37">
      <formula1>"SI,NO"</formula1>
    </dataValidation>
    <dataValidation type="list" allowBlank="1" showInputMessage="1" showErrorMessage="1" sqref="AF4:AF37">
      <formula1>"Manual,Automático"</formula1>
    </dataValidation>
    <dataValidation type="list" allowBlank="1" showInputMessage="1" showErrorMessage="1" sqref="AI4:AI37">
      <formula1>"Confiable,No confiable"</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
  <sheetViews>
    <sheetView topLeftCell="AB6" zoomScale="55" zoomScaleNormal="55" workbookViewId="0">
      <selection activeCell="AC8" sqref="AC8:AL16"/>
    </sheetView>
  </sheetViews>
  <sheetFormatPr baseColWidth="10" defaultColWidth="17.28515625" defaultRowHeight="106.9" customHeight="1"/>
  <cols>
    <col min="1" max="1" width="14.140625" style="81" customWidth="1"/>
    <col min="2" max="2" width="14" style="63" customWidth="1"/>
    <col min="3" max="3" width="17.28515625" style="63" customWidth="1"/>
    <col min="4" max="4" width="19.42578125" style="63" customWidth="1"/>
    <col min="5" max="5" width="19.5703125" style="63" customWidth="1"/>
    <col min="6" max="6" width="59.7109375" style="53" customWidth="1"/>
    <col min="7" max="7" width="9.7109375" style="53" customWidth="1"/>
    <col min="8" max="8" width="57" style="53" customWidth="1"/>
    <col min="9" max="9" width="73" style="53" customWidth="1"/>
    <col min="10" max="10" width="14.7109375" style="53" bestFit="1" customWidth="1"/>
    <col min="11" max="11" width="16.7109375" style="53" customWidth="1"/>
    <col min="12" max="12" width="19.28515625" style="53" customWidth="1"/>
    <col min="13" max="13" width="46.140625" style="53" customWidth="1"/>
    <col min="14" max="14" width="19.28515625" style="53" customWidth="1"/>
    <col min="15" max="15" width="45.28515625" style="53" customWidth="1"/>
    <col min="16" max="16" width="17.7109375" style="53" customWidth="1"/>
    <col min="17" max="17" width="32.42578125" style="53" customWidth="1"/>
    <col min="18" max="18" width="17.140625" style="53" customWidth="1"/>
    <col min="19" max="21" width="21.85546875" style="53" customWidth="1"/>
    <col min="22" max="22" width="15" style="53" customWidth="1"/>
    <col min="23" max="23" width="12.28515625" style="64" customWidth="1"/>
    <col min="24" max="24" width="13.7109375" style="53" customWidth="1"/>
    <col min="25" max="25" width="14.7109375" style="64" customWidth="1"/>
    <col min="26" max="26" width="16.85546875" style="53" bestFit="1" customWidth="1"/>
    <col min="27" max="27" width="7.85546875" style="53" customWidth="1"/>
    <col min="28" max="28" width="39" style="53" customWidth="1"/>
    <col min="29" max="29" width="106.85546875" style="53" customWidth="1"/>
    <col min="30" max="30" width="10" style="53" bestFit="1" customWidth="1"/>
    <col min="31" max="31" width="8.42578125" style="64" customWidth="1"/>
    <col min="32" max="32" width="20.28515625" style="64" customWidth="1"/>
    <col min="33" max="33" width="9" style="64" customWidth="1"/>
    <col min="34" max="34" width="14.140625" style="64" customWidth="1"/>
    <col min="35" max="35" width="16.42578125" style="53" customWidth="1"/>
    <col min="36" max="36" width="14.7109375" style="63" customWidth="1"/>
    <col min="37" max="37" width="36.5703125" style="53" customWidth="1"/>
    <col min="38" max="38" width="13.7109375" style="53" customWidth="1"/>
    <col min="39" max="39" width="13.7109375" style="65" customWidth="1"/>
    <col min="40" max="40" width="13.7109375" style="53" customWidth="1"/>
    <col min="41" max="41" width="15.28515625" style="53" customWidth="1"/>
    <col min="42" max="42" width="2.28515625" style="66" customWidth="1"/>
    <col min="43" max="43" width="49.28515625" style="66" customWidth="1"/>
    <col min="44" max="44" width="17" style="63" customWidth="1"/>
    <col min="45" max="46" width="11.5703125" style="82" customWidth="1"/>
    <col min="47" max="47" width="21.85546875" style="53" customWidth="1"/>
    <col min="48" max="57" width="18.140625" style="81" customWidth="1"/>
    <col min="58" max="216" width="11.42578125" style="81" customWidth="1"/>
    <col min="217" max="217" width="21.85546875" style="81" customWidth="1"/>
    <col min="218" max="218" width="13.85546875" style="81" customWidth="1"/>
    <col min="219" max="219" width="38.7109375" style="81" customWidth="1"/>
    <col min="220" max="220" width="3" style="81" bestFit="1" customWidth="1"/>
    <col min="221" max="221" width="32.28515625" style="81" customWidth="1"/>
    <col min="222" max="222" width="46.28515625" style="81" customWidth="1"/>
    <col min="223" max="223" width="19" style="81" customWidth="1"/>
    <col min="224" max="224" width="11.42578125" style="81" customWidth="1"/>
    <col min="225" max="225" width="17.7109375" style="81" customWidth="1"/>
    <col min="226" max="226" width="11.42578125" style="81" customWidth="1"/>
    <col min="227" max="227" width="22.28515625" style="81" customWidth="1"/>
    <col min="228" max="228" width="5.28515625" style="81" customWidth="1"/>
    <col min="229" max="229" width="36.28515625" style="81" customWidth="1"/>
    <col min="230" max="230" width="5.7109375" style="81" customWidth="1"/>
    <col min="231" max="231" width="11.42578125" style="81" customWidth="1"/>
    <col min="232" max="232" width="20.7109375" style="81" customWidth="1"/>
    <col min="233" max="233" width="4.85546875" style="81" customWidth="1"/>
    <col min="234" max="234" width="11.42578125" style="81" customWidth="1"/>
    <col min="235" max="235" width="24.7109375" style="81" customWidth="1"/>
    <col min="236" max="236" width="12.28515625" style="81" customWidth="1"/>
    <col min="237" max="237" width="11.42578125" style="81" customWidth="1"/>
    <col min="238" max="238" width="3.42578125" style="81" customWidth="1"/>
    <col min="239" max="239" width="11.42578125" style="81" customWidth="1"/>
    <col min="240" max="240" width="17.7109375" style="81" customWidth="1"/>
    <col min="241" max="241" width="3.42578125" style="81" customWidth="1"/>
    <col min="242" max="242" width="11.42578125" style="81" customWidth="1"/>
    <col min="243" max="243" width="23.7109375" style="81" customWidth="1"/>
    <col min="244" max="244" width="10" style="81" customWidth="1"/>
    <col min="245" max="245" width="11.42578125" style="81" customWidth="1"/>
    <col min="246" max="247" width="14.7109375" style="81" customWidth="1"/>
    <col min="248" max="248" width="12.85546875" style="81" customWidth="1"/>
    <col min="249" max="249" width="3.28515625" style="81" customWidth="1"/>
    <col min="250" max="250" width="30.28515625" style="81" customWidth="1"/>
    <col min="251" max="251" width="5" style="81" customWidth="1"/>
    <col min="252" max="252" width="11.42578125" style="81" customWidth="1"/>
    <col min="253" max="253" width="14.28515625" style="81" customWidth="1"/>
    <col min="254" max="254" width="5.7109375" style="81" customWidth="1"/>
    <col min="255" max="255" width="11.42578125" style="81" customWidth="1"/>
    <col min="256" max="16384" width="17.28515625" style="81"/>
  </cols>
  <sheetData>
    <row r="1" spans="1:60" ht="106.9"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60" ht="106.9"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60" s="46" customFormat="1" ht="106.9" customHeight="1">
      <c r="A3" s="611" t="s">
        <v>199</v>
      </c>
      <c r="B3" s="611" t="s">
        <v>144</v>
      </c>
      <c r="C3" s="611" t="s">
        <v>6</v>
      </c>
      <c r="D3" s="611" t="s">
        <v>1</v>
      </c>
      <c r="E3" s="611" t="s">
        <v>2</v>
      </c>
      <c r="F3" s="611"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60" ht="106.9" customHeight="1">
      <c r="A4" s="903" t="s">
        <v>51</v>
      </c>
      <c r="B4" s="968" t="s">
        <v>106</v>
      </c>
      <c r="C4" s="968" t="s">
        <v>152</v>
      </c>
      <c r="D4" s="968" t="s">
        <v>79</v>
      </c>
      <c r="E4" s="968" t="s">
        <v>36</v>
      </c>
      <c r="F4" s="968" t="s">
        <v>909</v>
      </c>
      <c r="G4" s="976" t="s">
        <v>910</v>
      </c>
      <c r="H4" s="968" t="s">
        <v>911</v>
      </c>
      <c r="I4" s="968" t="s">
        <v>912</v>
      </c>
      <c r="J4" s="968" t="s">
        <v>95</v>
      </c>
      <c r="K4" s="968">
        <v>1</v>
      </c>
      <c r="L4" s="926">
        <f>IF(J4="Diaria",+(K4/360),IF(J4="Semanal",+(K4/52),IF(J4="Mensual",+(K4/12),IF(J4="Bimestral",+(K4/6),IF(J4="Trimestral",+(K4/4),IF(J4="Semestral",+(K4/2),IF(J4="Anual",+(K4/1),"")))))))</f>
        <v>0.5</v>
      </c>
      <c r="M4" s="968" t="s">
        <v>63</v>
      </c>
      <c r="N4" s="926">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0.6</v>
      </c>
      <c r="O4" s="968" t="s">
        <v>48</v>
      </c>
      <c r="P4" s="926">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0.4</v>
      </c>
      <c r="Q4" s="968" t="s">
        <v>73</v>
      </c>
      <c r="R4" s="926">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1064" t="s">
        <v>60</v>
      </c>
      <c r="T4" s="1064" t="s">
        <v>61</v>
      </c>
      <c r="U4" s="926">
        <f>+MAX(N4,P4,R4)</f>
        <v>0.6</v>
      </c>
      <c r="V4" s="912" t="str">
        <f>IF(L4&lt;=20%,"Muy baja",IF(L4&lt;=40%,"Baja",IF(L4&lt;=60%,"Media",IF(L4&lt;=80%,"Alta",IF(L4&lt;=100%,"Muy alta",IF(L4&gt;=100%,"Muy alta",""))))))</f>
        <v>Media</v>
      </c>
      <c r="W4" s="926">
        <f>+IFERROR(VLOOKUP(V4,formulas!$F$1:$G$6,2,FALSE),"")</f>
        <v>0.6</v>
      </c>
      <c r="X4" s="911" t="str">
        <f>IF(U4=20%,"Leve",IF(U4=40%,"Menor",IF(U4=60%,"Moderado",IF(U4=80%,"Mayor",IF(U4=100%,"Catastrófico","")))))</f>
        <v>Moderado</v>
      </c>
      <c r="Y4" s="926">
        <f>+IFERROR(VLOOKUP(X4,formulas!$H$1:$I$6,2,FALSE),"")</f>
        <v>0.6</v>
      </c>
      <c r="Z4" s="911" t="str">
        <f>+IFERROR(VLOOKUP(V4&amp;X4,formulas!$C$2:$D$26,2,FALSE),"")</f>
        <v>Moderado</v>
      </c>
      <c r="AA4" s="926">
        <f>IF(Z4="Bajo",25%,IF(Z4="Moderado",50%,IF(Z4="Alto",75%,IF(Z4="Extremo",100%,""))))</f>
        <v>0.5</v>
      </c>
      <c r="AB4" s="1057" t="s">
        <v>913</v>
      </c>
      <c r="AC4" s="48" t="s">
        <v>914</v>
      </c>
      <c r="AD4" s="48" t="s">
        <v>57</v>
      </c>
      <c r="AE4" s="656">
        <f t="shared" ref="AE4:AE22" si="0">IF(AD4="Preventivo",25%,IF(AD4="Detectivo",15%,IF(AD4="Correctivo",10%,"")))</f>
        <v>0.25</v>
      </c>
      <c r="AF4" s="679" t="s">
        <v>229</v>
      </c>
      <c r="AG4" s="656">
        <f>IF(AF4="Manual",15%,IF(AF4="Automático",25%,""))</f>
        <v>0.15</v>
      </c>
      <c r="AH4" s="656">
        <f t="shared" ref="AH4:AH22" si="1">+AG4+AE4</f>
        <v>0.4</v>
      </c>
      <c r="AI4" s="613"/>
      <c r="AJ4" s="672" t="s">
        <v>24</v>
      </c>
      <c r="AK4" s="679" t="s">
        <v>915</v>
      </c>
      <c r="AL4" s="647">
        <f>+AA4*AH4</f>
        <v>0.2</v>
      </c>
      <c r="AM4" s="647">
        <f>+AA4-AL4</f>
        <v>0.3</v>
      </c>
      <c r="AN4" s="911" t="str">
        <f>+IF(C4="Corrupción","Moderado",IF(AM7&lt;=25%,"Bajo",IF(AM7&lt;=50%,"Moderado",IF(AM7&lt;=75%,"Alto",IF(AM7&gt;75%,"Extremo","")))))</f>
        <v>Bajo</v>
      </c>
      <c r="AO4" s="264" t="s">
        <v>59</v>
      </c>
      <c r="AP4" s="76">
        <v>1</v>
      </c>
      <c r="AQ4" s="51" t="s">
        <v>916</v>
      </c>
      <c r="AR4" s="52" t="s">
        <v>917</v>
      </c>
      <c r="AS4" s="176"/>
      <c r="AT4" s="176"/>
      <c r="AU4" s="613"/>
      <c r="AV4" s="613"/>
      <c r="AW4" s="613"/>
      <c r="AX4" s="613"/>
      <c r="AY4" s="613"/>
      <c r="AZ4" s="613"/>
      <c r="BA4" s="613"/>
      <c r="BB4" s="613"/>
      <c r="BC4" s="613"/>
      <c r="BD4" s="613"/>
      <c r="BE4" s="613"/>
      <c r="BF4" s="640"/>
      <c r="BG4" s="640"/>
    </row>
    <row r="5" spans="1:60" ht="94.5" customHeight="1">
      <c r="A5" s="903"/>
      <c r="B5" s="968"/>
      <c r="C5" s="968"/>
      <c r="D5" s="968"/>
      <c r="E5" s="968"/>
      <c r="F5" s="968"/>
      <c r="G5" s="976"/>
      <c r="H5" s="968"/>
      <c r="I5" s="968"/>
      <c r="J5" s="968"/>
      <c r="K5" s="968"/>
      <c r="L5" s="926"/>
      <c r="M5" s="968"/>
      <c r="N5" s="926"/>
      <c r="O5" s="968"/>
      <c r="P5" s="926"/>
      <c r="Q5" s="968"/>
      <c r="R5" s="926"/>
      <c r="S5" s="1064"/>
      <c r="T5" s="1064"/>
      <c r="U5" s="926"/>
      <c r="V5" s="915"/>
      <c r="W5" s="926" t="str">
        <f>+IFERROR(VLOOKUP(V5,formulas!$F$1:$G$6,2,FALSE),"")</f>
        <v/>
      </c>
      <c r="X5" s="821"/>
      <c r="Y5" s="926" t="str">
        <f>+IFERROR(VLOOKUP(X5,formulas!$H$1:$I$6,2,FALSE),"")</f>
        <v/>
      </c>
      <c r="Z5" s="821"/>
      <c r="AA5" s="926" t="str">
        <f t="shared" ref="AA5:AA22" si="2">IF(Z5="Bajo",25%,IF(Z5="Moderado",50%,IF(Z5="Alto",75%,IF(Z5="Extremo",100%,""))))</f>
        <v/>
      </c>
      <c r="AB5" s="1057"/>
      <c r="AC5" s="60" t="s">
        <v>918</v>
      </c>
      <c r="AD5" s="48" t="s">
        <v>57</v>
      </c>
      <c r="AE5" s="656">
        <f t="shared" si="0"/>
        <v>0.25</v>
      </c>
      <c r="AF5" s="679" t="s">
        <v>229</v>
      </c>
      <c r="AG5" s="656">
        <f t="shared" ref="AG5:AG22" si="3">IF(AF5="Manual",15%,IF(AF5="Automático",25%,""))</f>
        <v>0.15</v>
      </c>
      <c r="AH5" s="656">
        <f t="shared" si="1"/>
        <v>0.4</v>
      </c>
      <c r="AI5" s="613"/>
      <c r="AJ5" s="672" t="s">
        <v>24</v>
      </c>
      <c r="AK5" s="679" t="s">
        <v>919</v>
      </c>
      <c r="AL5" s="647">
        <f>+AM4*AH5</f>
        <v>0.12</v>
      </c>
      <c r="AM5" s="647">
        <f>+AM4-AL5</f>
        <v>0.18</v>
      </c>
      <c r="AN5" s="821"/>
      <c r="AO5" s="622" t="s">
        <v>59</v>
      </c>
      <c r="AP5" s="77">
        <v>2</v>
      </c>
      <c r="AQ5" s="57" t="s">
        <v>920</v>
      </c>
      <c r="AR5" s="52" t="s">
        <v>917</v>
      </c>
      <c r="AS5" s="176"/>
      <c r="AT5" s="176"/>
      <c r="AU5" s="176"/>
      <c r="AV5" s="640"/>
      <c r="AW5" s="640"/>
      <c r="AX5" s="640"/>
      <c r="AY5" s="640"/>
      <c r="AZ5" s="640"/>
      <c r="BA5" s="640"/>
      <c r="BB5" s="640"/>
      <c r="BC5" s="640"/>
      <c r="BD5" s="640"/>
      <c r="BE5" s="640"/>
      <c r="BF5" s="640"/>
      <c r="BG5" s="640"/>
    </row>
    <row r="6" spans="1:60" ht="106.9" customHeight="1">
      <c r="A6" s="903"/>
      <c r="B6" s="968"/>
      <c r="C6" s="968"/>
      <c r="D6" s="968"/>
      <c r="E6" s="968"/>
      <c r="F6" s="968"/>
      <c r="G6" s="976"/>
      <c r="H6" s="968"/>
      <c r="I6" s="968"/>
      <c r="J6" s="968"/>
      <c r="K6" s="968"/>
      <c r="L6" s="926"/>
      <c r="M6" s="968"/>
      <c r="N6" s="926"/>
      <c r="O6" s="968"/>
      <c r="P6" s="926"/>
      <c r="Q6" s="968"/>
      <c r="R6" s="926"/>
      <c r="S6" s="1064"/>
      <c r="T6" s="1064"/>
      <c r="U6" s="926"/>
      <c r="V6" s="915"/>
      <c r="W6" s="926" t="str">
        <f>+IFERROR(VLOOKUP(V6,formulas!$F$1:$G$6,2,FALSE),"")</f>
        <v/>
      </c>
      <c r="X6" s="821"/>
      <c r="Y6" s="926" t="str">
        <f>+IFERROR(VLOOKUP(X6,formulas!$H$1:$I$6,2,FALSE),"")</f>
        <v/>
      </c>
      <c r="Z6" s="821"/>
      <c r="AA6" s="926" t="str">
        <f t="shared" si="2"/>
        <v/>
      </c>
      <c r="AB6" s="1057"/>
      <c r="AC6" s="309" t="s">
        <v>921</v>
      </c>
      <c r="AD6" s="48" t="s">
        <v>57</v>
      </c>
      <c r="AE6" s="656">
        <f t="shared" si="0"/>
        <v>0.25</v>
      </c>
      <c r="AF6" s="679" t="s">
        <v>229</v>
      </c>
      <c r="AG6" s="656">
        <f t="shared" si="3"/>
        <v>0.15</v>
      </c>
      <c r="AH6" s="656">
        <f t="shared" si="1"/>
        <v>0.4</v>
      </c>
      <c r="AI6" s="613"/>
      <c r="AJ6" s="672" t="s">
        <v>41</v>
      </c>
      <c r="AK6" s="679"/>
      <c r="AL6" s="647">
        <f>+AM5*AH6</f>
        <v>7.1999999999999995E-2</v>
      </c>
      <c r="AM6" s="647">
        <f>+AM5-AL6</f>
        <v>0.108</v>
      </c>
      <c r="AN6" s="821"/>
      <c r="AO6" s="622" t="s">
        <v>59</v>
      </c>
      <c r="AP6" s="77">
        <v>3</v>
      </c>
      <c r="AQ6" s="49" t="s">
        <v>922</v>
      </c>
      <c r="AR6" s="52" t="s">
        <v>917</v>
      </c>
      <c r="AS6" s="518"/>
      <c r="AT6" s="518"/>
      <c r="AU6" s="632"/>
      <c r="AV6" s="640"/>
      <c r="AW6" s="640"/>
      <c r="AX6" s="640"/>
      <c r="AY6" s="640"/>
      <c r="AZ6" s="640"/>
      <c r="BA6" s="640"/>
      <c r="BB6" s="640"/>
      <c r="BC6" s="640"/>
      <c r="BD6" s="640"/>
      <c r="BE6" s="640"/>
      <c r="BF6" s="640"/>
      <c r="BG6" s="640"/>
    </row>
    <row r="7" spans="1:60" ht="106.9" customHeight="1" thickBot="1">
      <c r="A7" s="895"/>
      <c r="B7" s="969"/>
      <c r="C7" s="969"/>
      <c r="D7" s="969"/>
      <c r="E7" s="969"/>
      <c r="F7" s="969"/>
      <c r="G7" s="977"/>
      <c r="H7" s="969"/>
      <c r="I7" s="969"/>
      <c r="J7" s="969"/>
      <c r="K7" s="969"/>
      <c r="L7" s="927"/>
      <c r="M7" s="969"/>
      <c r="N7" s="927"/>
      <c r="O7" s="969"/>
      <c r="P7" s="927"/>
      <c r="Q7" s="969"/>
      <c r="R7" s="927"/>
      <c r="S7" s="1063"/>
      <c r="T7" s="1063"/>
      <c r="U7" s="927"/>
      <c r="V7" s="1045"/>
      <c r="W7" s="927" t="str">
        <f>+IFERROR(VLOOKUP(V7,formulas!$F$1:$G$6,2,FALSE),"")</f>
        <v/>
      </c>
      <c r="X7" s="822"/>
      <c r="Y7" s="927" t="str">
        <f>+IFERROR(VLOOKUP(X7,formulas!$H$1:$I$6,2,FALSE),"")</f>
        <v/>
      </c>
      <c r="Z7" s="822"/>
      <c r="AA7" s="927" t="str">
        <f t="shared" si="2"/>
        <v/>
      </c>
      <c r="AB7" s="1058"/>
      <c r="AC7" s="54" t="s">
        <v>923</v>
      </c>
      <c r="AD7" s="54" t="s">
        <v>57</v>
      </c>
      <c r="AE7" s="657">
        <f t="shared" si="0"/>
        <v>0.25</v>
      </c>
      <c r="AF7" s="680" t="s">
        <v>229</v>
      </c>
      <c r="AG7" s="657">
        <f t="shared" si="3"/>
        <v>0.15</v>
      </c>
      <c r="AH7" s="657">
        <f t="shared" si="1"/>
        <v>0.4</v>
      </c>
      <c r="AI7" s="103"/>
      <c r="AJ7" s="673" t="s">
        <v>41</v>
      </c>
      <c r="AK7" s="680"/>
      <c r="AL7" s="648">
        <f>+AM6*AH7</f>
        <v>4.3200000000000002E-2</v>
      </c>
      <c r="AM7" s="648">
        <f>+AM6-AL7</f>
        <v>6.4799999999999996E-2</v>
      </c>
      <c r="AN7" s="822"/>
      <c r="AO7" s="103"/>
      <c r="AP7" s="105">
        <v>4</v>
      </c>
      <c r="AQ7" s="62"/>
      <c r="AR7" s="110"/>
      <c r="AS7" s="517"/>
      <c r="AT7" s="517"/>
      <c r="AU7" s="103"/>
      <c r="AV7" s="107"/>
      <c r="AW7" s="107"/>
      <c r="AX7" s="107"/>
      <c r="AY7" s="107"/>
      <c r="AZ7" s="107"/>
      <c r="BA7" s="107"/>
      <c r="BB7" s="107"/>
      <c r="BC7" s="107"/>
      <c r="BD7" s="107"/>
      <c r="BE7" s="107"/>
      <c r="BF7" s="107"/>
      <c r="BG7" s="107"/>
    </row>
    <row r="8" spans="1:60" ht="106.9" customHeight="1">
      <c r="A8" s="1093" t="s">
        <v>51</v>
      </c>
      <c r="B8" s="1081" t="s">
        <v>106</v>
      </c>
      <c r="C8" s="1081" t="s">
        <v>58</v>
      </c>
      <c r="D8" s="1081" t="s">
        <v>79</v>
      </c>
      <c r="E8" s="1081" t="s">
        <v>80</v>
      </c>
      <c r="F8" s="1087" t="s">
        <v>316</v>
      </c>
      <c r="G8" s="1090" t="s">
        <v>317</v>
      </c>
      <c r="H8" s="1081" t="s">
        <v>318</v>
      </c>
      <c r="I8" s="1087" t="s">
        <v>319</v>
      </c>
      <c r="J8" s="1081" t="s">
        <v>50</v>
      </c>
      <c r="K8" s="1081">
        <v>0</v>
      </c>
      <c r="L8" s="953">
        <f t="shared" ref="L8:L22" si="4">IF(J8="Diaria",+(K8/360),IF(J8="Semanal",+(K8/52),IF(J8="Mensual",+(K8/12),IF(J8="Bimestral",+(K8/6),IF(J8="Trimestral",+(K8/4),IF(J8="Semestral",+(K8/2),IF(J8="Anual",+(K8/1),"")))))))</f>
        <v>0</v>
      </c>
      <c r="M8" s="1081" t="s">
        <v>47</v>
      </c>
      <c r="N8" s="953">
        <f t="shared" ref="N8:N22" si="5">IF(M8="Menor al 1% del patrimonio de la Lotería de Bogotá",20%,IF(M8="Entre el 1% y el 3% del patrimonio de la Lotería de Bogotá",40%,IF(M8="Entre el 3% y el 6% del patrimonio de la Lotería de Bogotá",60%,IF(M8="Entre el 6% y el 10% del patrimonio de la Lotería de Bogotá",80%,IF(M8="Mayor al 10% del patrimonio de la Lotería de Bogotá",100%,IF(M8="NA",0%,""))))))</f>
        <v>0.4</v>
      </c>
      <c r="O8" s="1081" t="s">
        <v>48</v>
      </c>
      <c r="P8" s="953">
        <f t="shared" ref="P8:P22" si="6">IF(O8="El riesgo afecta la imagen de algún área de la organización",20%,IF(O8="El riesgo afecta la imagen de la entidad internamente, de conocimiento general nivel interno, de junta directiva y accionistas y/o de proveedores",40%,IF(O8="El riesgo afecta la imagen de la entidad con algunos usuarios de relevancia frente al logro de los objetivos",60%,IF(O8="El riesgo afecta la imagen de la entidad con efecto publicitario sostenido a nivel de sector administrativo, nivel departamental o municipal",80%,IF(O8="El riesgo afecta la imagen de la entidad a nivel nacional, con efecto publicitario sostenido a nivel país",100%,IF(O8="NA",0%,""))))))</f>
        <v>0.4</v>
      </c>
      <c r="Q8" s="1081" t="s">
        <v>73</v>
      </c>
      <c r="R8" s="953">
        <f t="shared" ref="R8:R22" si="7">IF(Q8="Interrupción de la operación por menos de un día",20%,IF(Q8="Interrupción de la operación por un día completo",40%,IF(Q8="Interrupción de la operación mayor a 1 día y menor a 2 días",60%,IF(Q8="Interrupción de la operación por dos días completos",80%,IF(Q8="Interrupción de la operación por más de dos días",100%,IF(Q8="NA",0%,""))))))</f>
        <v>0</v>
      </c>
      <c r="S8" s="1084" t="s">
        <v>60</v>
      </c>
      <c r="T8" s="1084" t="s">
        <v>28</v>
      </c>
      <c r="U8" s="953">
        <f t="shared" ref="U8:U22" si="8">+MAX(N8,P8,R8)</f>
        <v>0.4</v>
      </c>
      <c r="V8" s="912" t="str">
        <f t="shared" ref="V8:V22" si="9">IF(L8&lt;=20%,"Muy baja",IF(L8&lt;=40%,"Baja",IF(L8&lt;=60%,"Media",IF(L8&lt;=80%,"Alta",IF(L8&lt;=100%,"Muy alta",IF(L8&gt;=100%,"Muy alta",""))))))</f>
        <v>Muy baja</v>
      </c>
      <c r="W8" s="953">
        <f>+IFERROR(VLOOKUP(V8,formulas!$F$1:$G$6,2,FALSE),"")</f>
        <v>0.2</v>
      </c>
      <c r="X8" s="820" t="str">
        <f t="shared" ref="X8:X22" si="10">IF(U8=20%,"Leve",IF(U8=40%,"Menor",IF(U8=60%,"Moderado",IF(U8=80%,"Mayor",IF(U8=100%,"Catastrófico","")))))</f>
        <v>Menor</v>
      </c>
      <c r="Y8" s="953">
        <f>+IFERROR(VLOOKUP(X8,formulas!$H$1:$I$6,2,FALSE),"")</f>
        <v>0.4</v>
      </c>
      <c r="Z8" s="820" t="str">
        <f>+IFERROR(VLOOKUP(V8&amp;X8,formulas!$C$2:$D$26,2,FALSE),"")</f>
        <v>Bajo</v>
      </c>
      <c r="AA8" s="953">
        <f t="shared" si="2"/>
        <v>0.25</v>
      </c>
      <c r="AB8" s="1075" t="s">
        <v>320</v>
      </c>
      <c r="AC8" s="80" t="s">
        <v>1271</v>
      </c>
      <c r="AD8" s="80" t="s">
        <v>57</v>
      </c>
      <c r="AE8" s="756">
        <f t="shared" si="0"/>
        <v>0.25</v>
      </c>
      <c r="AF8" s="762" t="s">
        <v>229</v>
      </c>
      <c r="AG8" s="756">
        <f t="shared" si="3"/>
        <v>0.15</v>
      </c>
      <c r="AH8" s="756">
        <f t="shared" si="1"/>
        <v>0.4</v>
      </c>
      <c r="AI8" s="1254"/>
      <c r="AJ8" s="757" t="s">
        <v>24</v>
      </c>
      <c r="AK8" s="762" t="s">
        <v>1272</v>
      </c>
      <c r="AL8" s="763">
        <f t="shared" ref="AL8:AL22" si="11">+AA8*AH8</f>
        <v>0.1</v>
      </c>
      <c r="AM8" s="690">
        <f t="shared" ref="AM8:AM22" si="12">+AA8-AL8</f>
        <v>0.15</v>
      </c>
      <c r="AN8" s="820" t="str">
        <f>+IF(C8="Corrupción","Moderado",IF(AM10&lt;=25%,"Bajo",IF(AM10&lt;=50%,"Moderado",IF(AM10&lt;=75%,"Alto",IF(AM10&gt;75%,"Extremo","")))))</f>
        <v>Moderado</v>
      </c>
      <c r="AO8" s="131"/>
      <c r="AP8" s="314">
        <v>1</v>
      </c>
      <c r="AQ8" s="315" t="s">
        <v>328</v>
      </c>
      <c r="AR8" s="699" t="s">
        <v>329</v>
      </c>
      <c r="AS8" s="519"/>
      <c r="AT8" s="519"/>
      <c r="AU8" s="131"/>
      <c r="AV8" s="130"/>
      <c r="AW8" s="130"/>
      <c r="AX8" s="130"/>
      <c r="AY8" s="130"/>
      <c r="AZ8" s="130"/>
      <c r="BA8" s="130"/>
      <c r="BB8" s="130"/>
      <c r="BC8" s="130"/>
      <c r="BD8" s="130"/>
      <c r="BE8" s="130"/>
      <c r="BF8" s="130"/>
      <c r="BG8" s="130"/>
    </row>
    <row r="9" spans="1:60" ht="157.5" customHeight="1">
      <c r="A9" s="1094"/>
      <c r="B9" s="1082"/>
      <c r="C9" s="1082"/>
      <c r="D9" s="1082"/>
      <c r="E9" s="1082"/>
      <c r="F9" s="1088"/>
      <c r="G9" s="1091"/>
      <c r="H9" s="1082"/>
      <c r="I9" s="1088"/>
      <c r="J9" s="1082"/>
      <c r="K9" s="1082"/>
      <c r="L9" s="926"/>
      <c r="M9" s="1082"/>
      <c r="N9" s="926"/>
      <c r="O9" s="1082"/>
      <c r="P9" s="926"/>
      <c r="Q9" s="1082"/>
      <c r="R9" s="926"/>
      <c r="S9" s="1085"/>
      <c r="T9" s="1085"/>
      <c r="U9" s="926"/>
      <c r="V9" s="915"/>
      <c r="W9" s="926" t="str">
        <f>+IFERROR(VLOOKUP(V9,formulas!$F$1:$G$6,2,FALSE),"")</f>
        <v/>
      </c>
      <c r="X9" s="821"/>
      <c r="Y9" s="926" t="str">
        <f>+IFERROR(VLOOKUP(X9,formulas!$H$1:$I$6,2,FALSE),"")</f>
        <v/>
      </c>
      <c r="Z9" s="821"/>
      <c r="AA9" s="926" t="str">
        <f t="shared" si="2"/>
        <v/>
      </c>
      <c r="AB9" s="1076"/>
      <c r="AC9" s="48" t="s">
        <v>1273</v>
      </c>
      <c r="AD9" s="48" t="s">
        <v>57</v>
      </c>
      <c r="AE9" s="754">
        <f t="shared" si="0"/>
        <v>0.25</v>
      </c>
      <c r="AF9" s="760" t="s">
        <v>229</v>
      </c>
      <c r="AG9" s="754">
        <f t="shared" si="3"/>
        <v>0.15</v>
      </c>
      <c r="AH9" s="754">
        <f t="shared" si="1"/>
        <v>0.4</v>
      </c>
      <c r="AI9" s="1255"/>
      <c r="AJ9" s="759" t="s">
        <v>24</v>
      </c>
      <c r="AK9" s="760" t="s">
        <v>334</v>
      </c>
      <c r="AL9" s="751">
        <f>+AM8*AH9</f>
        <v>0.06</v>
      </c>
      <c r="AM9" s="647">
        <f>+AM8-AL9</f>
        <v>0.09</v>
      </c>
      <c r="AN9" s="821"/>
      <c r="AO9" s="75"/>
      <c r="AP9" s="77">
        <v>2</v>
      </c>
      <c r="AQ9" s="84" t="s">
        <v>337</v>
      </c>
      <c r="AR9" s="89" t="s">
        <v>338</v>
      </c>
      <c r="AS9" s="520"/>
      <c r="AT9" s="520"/>
      <c r="AU9" s="75"/>
      <c r="AV9" s="93"/>
      <c r="AW9" s="93"/>
      <c r="AX9" s="93"/>
      <c r="AY9" s="93"/>
      <c r="AZ9" s="93"/>
      <c r="BA9" s="93"/>
      <c r="BB9" s="93"/>
      <c r="BC9" s="93"/>
      <c r="BD9" s="93"/>
      <c r="BE9" s="93"/>
      <c r="BF9" s="93"/>
      <c r="BG9" s="93"/>
    </row>
    <row r="10" spans="1:60" ht="106.9" customHeight="1" thickBot="1">
      <c r="A10" s="1095"/>
      <c r="B10" s="1083"/>
      <c r="C10" s="1083"/>
      <c r="D10" s="1083"/>
      <c r="E10" s="1083"/>
      <c r="F10" s="1089"/>
      <c r="G10" s="1092"/>
      <c r="H10" s="1083"/>
      <c r="I10" s="1089"/>
      <c r="J10" s="1083"/>
      <c r="K10" s="1083"/>
      <c r="L10" s="927"/>
      <c r="M10" s="1083"/>
      <c r="N10" s="927"/>
      <c r="O10" s="1083"/>
      <c r="P10" s="927"/>
      <c r="Q10" s="1083"/>
      <c r="R10" s="927"/>
      <c r="S10" s="1086"/>
      <c r="T10" s="1086"/>
      <c r="U10" s="927"/>
      <c r="V10" s="1045"/>
      <c r="W10" s="927" t="str">
        <f>+IFERROR(VLOOKUP(V10,formulas!$F$1:$G$6,2,FALSE),"")</f>
        <v/>
      </c>
      <c r="X10" s="822"/>
      <c r="Y10" s="927" t="str">
        <f>+IFERROR(VLOOKUP(X10,formulas!$H$1:$I$6,2,FALSE),"")</f>
        <v/>
      </c>
      <c r="Z10" s="822"/>
      <c r="AA10" s="927" t="str">
        <f t="shared" si="2"/>
        <v/>
      </c>
      <c r="AB10" s="1077"/>
      <c r="AC10" s="54" t="s">
        <v>1274</v>
      </c>
      <c r="AD10" s="54" t="s">
        <v>57</v>
      </c>
      <c r="AE10" s="755">
        <f t="shared" si="0"/>
        <v>0.25</v>
      </c>
      <c r="AF10" s="761" t="s">
        <v>229</v>
      </c>
      <c r="AG10" s="755">
        <f t="shared" si="3"/>
        <v>0.15</v>
      </c>
      <c r="AH10" s="755">
        <f t="shared" si="1"/>
        <v>0.4</v>
      </c>
      <c r="AI10" s="1256"/>
      <c r="AJ10" s="758" t="s">
        <v>24</v>
      </c>
      <c r="AK10" s="761" t="s">
        <v>334</v>
      </c>
      <c r="AL10" s="752">
        <f>+AM9*AH10</f>
        <v>3.5999999999999997E-2</v>
      </c>
      <c r="AM10" s="648">
        <f>+AM9-AL10</f>
        <v>5.3999999999999999E-2</v>
      </c>
      <c r="AN10" s="822"/>
      <c r="AO10" s="103"/>
      <c r="AP10" s="112">
        <v>3</v>
      </c>
      <c r="AQ10" s="106" t="s">
        <v>344</v>
      </c>
      <c r="AR10" s="109" t="s">
        <v>345</v>
      </c>
      <c r="AS10" s="517"/>
      <c r="AT10" s="517"/>
      <c r="AU10" s="103"/>
      <c r="AV10" s="107"/>
      <c r="AW10" s="107"/>
      <c r="AX10" s="107"/>
      <c r="AY10" s="107"/>
      <c r="AZ10" s="107"/>
      <c r="BA10" s="107"/>
      <c r="BB10" s="107"/>
      <c r="BC10" s="107"/>
      <c r="BD10" s="107"/>
      <c r="BE10" s="107"/>
      <c r="BF10" s="107"/>
      <c r="BG10" s="107"/>
    </row>
    <row r="11" spans="1:60" ht="106.9" customHeight="1">
      <c r="A11" s="1093" t="s">
        <v>51</v>
      </c>
      <c r="B11" s="1081" t="s">
        <v>106</v>
      </c>
      <c r="C11" s="1081" t="s">
        <v>152</v>
      </c>
      <c r="D11" s="1081" t="s">
        <v>35</v>
      </c>
      <c r="E11" s="1081" t="s">
        <v>100</v>
      </c>
      <c r="F11" s="1087" t="s">
        <v>924</v>
      </c>
      <c r="G11" s="1090" t="s">
        <v>925</v>
      </c>
      <c r="H11" s="1087" t="s">
        <v>926</v>
      </c>
      <c r="I11" s="1087" t="s">
        <v>927</v>
      </c>
      <c r="J11" s="1081" t="s">
        <v>33</v>
      </c>
      <c r="K11" s="1081">
        <v>0</v>
      </c>
      <c r="L11" s="953">
        <f t="shared" si="4"/>
        <v>0</v>
      </c>
      <c r="M11" s="1081" t="s">
        <v>75</v>
      </c>
      <c r="N11" s="953">
        <f t="shared" si="5"/>
        <v>0.8</v>
      </c>
      <c r="O11" s="1081" t="s">
        <v>48</v>
      </c>
      <c r="P11" s="953">
        <f t="shared" si="6"/>
        <v>0.4</v>
      </c>
      <c r="Q11" s="1081" t="s">
        <v>73</v>
      </c>
      <c r="R11" s="953">
        <f t="shared" si="7"/>
        <v>0</v>
      </c>
      <c r="S11" s="1084" t="s">
        <v>60</v>
      </c>
      <c r="T11" s="1084" t="s">
        <v>73</v>
      </c>
      <c r="U11" s="953">
        <f t="shared" si="8"/>
        <v>0.8</v>
      </c>
      <c r="V11" s="912" t="str">
        <f t="shared" si="9"/>
        <v>Muy baja</v>
      </c>
      <c r="W11" s="953">
        <f>+IFERROR(VLOOKUP(V11,formulas!$F$1:$G$6,2,FALSE),"")</f>
        <v>0.2</v>
      </c>
      <c r="X11" s="820" t="str">
        <f t="shared" si="10"/>
        <v>Mayor</v>
      </c>
      <c r="Y11" s="953">
        <f>+IFERROR(VLOOKUP(X11,formulas!$H$1:$I$6,2,FALSE),"")</f>
        <v>0.8</v>
      </c>
      <c r="Z11" s="820" t="str">
        <f>+IFERROR(VLOOKUP(V11&amp;X11,formulas!$C$2:$D$26,2,FALSE),"")</f>
        <v>Alto</v>
      </c>
      <c r="AA11" s="953">
        <f t="shared" si="2"/>
        <v>0.75</v>
      </c>
      <c r="AB11" s="1075" t="s">
        <v>928</v>
      </c>
      <c r="AC11" s="80" t="s">
        <v>1269</v>
      </c>
      <c r="AD11" s="80" t="s">
        <v>57</v>
      </c>
      <c r="AE11" s="756">
        <f t="shared" si="0"/>
        <v>0.25</v>
      </c>
      <c r="AF11" s="762" t="s">
        <v>229</v>
      </c>
      <c r="AG11" s="756">
        <f t="shared" si="3"/>
        <v>0.15</v>
      </c>
      <c r="AH11" s="756">
        <f t="shared" si="1"/>
        <v>0.4</v>
      </c>
      <c r="AI11" s="1254"/>
      <c r="AJ11" s="757" t="s">
        <v>24</v>
      </c>
      <c r="AK11" s="762" t="s">
        <v>334</v>
      </c>
      <c r="AL11" s="763">
        <f t="shared" si="11"/>
        <v>0.30000000000000004</v>
      </c>
      <c r="AM11" s="690">
        <f t="shared" si="12"/>
        <v>0.44999999999999996</v>
      </c>
      <c r="AN11" s="820" t="str">
        <f>+IF(C11="Corrupción","Moderado",IF(AM13&lt;=25%,"Bajo",IF(AM13&lt;=50%,"Moderado",IF(AM13&lt;=75%,"Alto",IF(AM13&gt;75%,"Extremo","")))))</f>
        <v>Bajo</v>
      </c>
      <c r="AO11" s="131"/>
      <c r="AP11" s="314">
        <v>1</v>
      </c>
      <c r="AQ11" s="132" t="s">
        <v>929</v>
      </c>
      <c r="AR11" s="699" t="s">
        <v>930</v>
      </c>
      <c r="AS11" s="519"/>
      <c r="AT11" s="519"/>
      <c r="AU11" s="131"/>
      <c r="AV11" s="130"/>
      <c r="AW11" s="130"/>
      <c r="AX11" s="130"/>
      <c r="AY11" s="130"/>
      <c r="AZ11" s="130"/>
      <c r="BA11" s="130"/>
      <c r="BB11" s="130"/>
      <c r="BC11" s="130"/>
      <c r="BD11" s="130"/>
      <c r="BE11" s="130"/>
      <c r="BF11" s="130"/>
      <c r="BG11" s="130"/>
    </row>
    <row r="12" spans="1:60" ht="106.9" customHeight="1">
      <c r="A12" s="1094"/>
      <c r="B12" s="1082"/>
      <c r="C12" s="1082"/>
      <c r="D12" s="1082"/>
      <c r="E12" s="1082"/>
      <c r="F12" s="1088"/>
      <c r="G12" s="1091"/>
      <c r="H12" s="1088"/>
      <c r="I12" s="1088"/>
      <c r="J12" s="1082"/>
      <c r="K12" s="1082"/>
      <c r="L12" s="926"/>
      <c r="M12" s="1082"/>
      <c r="N12" s="926"/>
      <c r="O12" s="1082"/>
      <c r="P12" s="926"/>
      <c r="Q12" s="1082"/>
      <c r="R12" s="926"/>
      <c r="S12" s="1085"/>
      <c r="T12" s="1085"/>
      <c r="U12" s="926">
        <f t="shared" si="8"/>
        <v>0</v>
      </c>
      <c r="V12" s="915"/>
      <c r="W12" s="926" t="str">
        <f>+IFERROR(VLOOKUP(V12,formulas!$F$1:$G$6,2,FALSE),"")</f>
        <v/>
      </c>
      <c r="X12" s="821"/>
      <c r="Y12" s="926" t="str">
        <f>+IFERROR(VLOOKUP(X12,formulas!$H$1:$I$6,2,FALSE),"")</f>
        <v/>
      </c>
      <c r="Z12" s="821"/>
      <c r="AA12" s="926" t="str">
        <f t="shared" si="2"/>
        <v/>
      </c>
      <c r="AB12" s="1076"/>
      <c r="AC12" s="48" t="s">
        <v>1275</v>
      </c>
      <c r="AD12" s="48" t="s">
        <v>57</v>
      </c>
      <c r="AE12" s="754">
        <f t="shared" si="0"/>
        <v>0.25</v>
      </c>
      <c r="AF12" s="760" t="s">
        <v>229</v>
      </c>
      <c r="AG12" s="754">
        <f t="shared" si="3"/>
        <v>0.15</v>
      </c>
      <c r="AH12" s="754">
        <f t="shared" si="1"/>
        <v>0.4</v>
      </c>
      <c r="AI12" s="1255"/>
      <c r="AJ12" s="759" t="s">
        <v>41</v>
      </c>
      <c r="AK12" s="760"/>
      <c r="AL12" s="751">
        <f>+AM11*AH12</f>
        <v>0.18</v>
      </c>
      <c r="AM12" s="647">
        <f>+AM11-AL12</f>
        <v>0.26999999999999996</v>
      </c>
      <c r="AN12" s="821"/>
      <c r="AO12" s="75"/>
      <c r="AP12" s="312">
        <v>2</v>
      </c>
      <c r="AQ12" s="60" t="s">
        <v>931</v>
      </c>
      <c r="AR12" s="700" t="s">
        <v>932</v>
      </c>
      <c r="AS12" s="520"/>
      <c r="AT12" s="520"/>
      <c r="AU12" s="75"/>
      <c r="AV12" s="93"/>
      <c r="AW12" s="93"/>
      <c r="AX12" s="93"/>
      <c r="AY12" s="93"/>
      <c r="AZ12" s="93"/>
      <c r="BA12" s="93"/>
      <c r="BB12" s="93"/>
      <c r="BC12" s="93"/>
      <c r="BD12" s="93"/>
      <c r="BE12" s="93"/>
      <c r="BF12" s="93"/>
      <c r="BG12" s="93"/>
    </row>
    <row r="13" spans="1:60" ht="106.9" customHeight="1" thickBot="1">
      <c r="A13" s="1095"/>
      <c r="B13" s="1083"/>
      <c r="C13" s="1083"/>
      <c r="D13" s="1083"/>
      <c r="E13" s="1083"/>
      <c r="F13" s="1089"/>
      <c r="G13" s="1092"/>
      <c r="H13" s="1089"/>
      <c r="I13" s="1089"/>
      <c r="J13" s="1083"/>
      <c r="K13" s="1083"/>
      <c r="L13" s="927"/>
      <c r="M13" s="1083"/>
      <c r="N13" s="927"/>
      <c r="O13" s="1083"/>
      <c r="P13" s="927"/>
      <c r="Q13" s="1083"/>
      <c r="R13" s="927"/>
      <c r="S13" s="1086"/>
      <c r="T13" s="1086"/>
      <c r="U13" s="927">
        <f t="shared" si="8"/>
        <v>0</v>
      </c>
      <c r="V13" s="1045"/>
      <c r="W13" s="927" t="str">
        <f>+IFERROR(VLOOKUP(V13,formulas!$F$1:$G$6,2,FALSE),"")</f>
        <v/>
      </c>
      <c r="X13" s="822"/>
      <c r="Y13" s="927" t="str">
        <f>+IFERROR(VLOOKUP(X13,formulas!$H$1:$I$6,2,FALSE),"")</f>
        <v/>
      </c>
      <c r="Z13" s="822"/>
      <c r="AA13" s="927" t="str">
        <f t="shared" si="2"/>
        <v/>
      </c>
      <c r="AB13" s="1077"/>
      <c r="AC13" s="54" t="s">
        <v>933</v>
      </c>
      <c r="AD13" s="54" t="s">
        <v>57</v>
      </c>
      <c r="AE13" s="755">
        <f t="shared" si="0"/>
        <v>0.25</v>
      </c>
      <c r="AF13" s="761" t="s">
        <v>229</v>
      </c>
      <c r="AG13" s="755">
        <f t="shared" si="3"/>
        <v>0.15</v>
      </c>
      <c r="AH13" s="755">
        <f t="shared" si="1"/>
        <v>0.4</v>
      </c>
      <c r="AI13" s="1256"/>
      <c r="AJ13" s="758" t="s">
        <v>24</v>
      </c>
      <c r="AK13" s="761" t="s">
        <v>934</v>
      </c>
      <c r="AL13" s="752">
        <f>+AM12*AH13</f>
        <v>0.10799999999999998</v>
      </c>
      <c r="AM13" s="648">
        <f>+AM12-AL13</f>
        <v>0.16199999999999998</v>
      </c>
      <c r="AN13" s="822"/>
      <c r="AO13" s="103"/>
      <c r="AP13" s="316">
        <v>3</v>
      </c>
      <c r="AQ13" s="104" t="s">
        <v>935</v>
      </c>
      <c r="AR13" s="109" t="s">
        <v>917</v>
      </c>
      <c r="AS13" s="517"/>
      <c r="AT13" s="517"/>
      <c r="AU13" s="103"/>
      <c r="AV13" s="107"/>
      <c r="AW13" s="107"/>
      <c r="AX13" s="107"/>
      <c r="AY13" s="107"/>
      <c r="AZ13" s="107"/>
      <c r="BA13" s="107"/>
      <c r="BB13" s="107"/>
      <c r="BC13" s="107"/>
      <c r="BD13" s="107"/>
      <c r="BE13" s="107"/>
      <c r="BF13" s="107"/>
      <c r="BG13" s="107"/>
      <c r="BH13" s="310"/>
    </row>
    <row r="14" spans="1:60" ht="106.9" customHeight="1">
      <c r="A14" s="1093" t="s">
        <v>51</v>
      </c>
      <c r="B14" s="1081" t="s">
        <v>106</v>
      </c>
      <c r="C14" s="1081" t="s">
        <v>152</v>
      </c>
      <c r="D14" s="1081" t="s">
        <v>79</v>
      </c>
      <c r="E14" s="1081" t="s">
        <v>36</v>
      </c>
      <c r="F14" s="1078" t="s">
        <v>936</v>
      </c>
      <c r="G14" s="1096" t="s">
        <v>937</v>
      </c>
      <c r="H14" s="1087" t="s">
        <v>938</v>
      </c>
      <c r="I14" s="1087" t="s">
        <v>939</v>
      </c>
      <c r="J14" s="1081" t="s">
        <v>33</v>
      </c>
      <c r="K14" s="1078">
        <v>1</v>
      </c>
      <c r="L14" s="953">
        <f t="shared" si="4"/>
        <v>2.7777777777777779E-3</v>
      </c>
      <c r="M14" s="1081" t="s">
        <v>86</v>
      </c>
      <c r="N14" s="953">
        <f t="shared" si="5"/>
        <v>1</v>
      </c>
      <c r="O14" s="1081" t="s">
        <v>73</v>
      </c>
      <c r="P14" s="953">
        <f t="shared" si="6"/>
        <v>0</v>
      </c>
      <c r="Q14" s="1081" t="s">
        <v>73</v>
      </c>
      <c r="R14" s="953">
        <f t="shared" si="7"/>
        <v>0</v>
      </c>
      <c r="S14" s="1084" t="s">
        <v>60</v>
      </c>
      <c r="T14" s="1084" t="s">
        <v>73</v>
      </c>
      <c r="U14" s="953">
        <f t="shared" si="8"/>
        <v>1</v>
      </c>
      <c r="V14" s="912" t="str">
        <f t="shared" si="9"/>
        <v>Muy baja</v>
      </c>
      <c r="W14" s="953">
        <f>+IFERROR(VLOOKUP(V14,formulas!$F$1:$G$6,2,FALSE),"")</f>
        <v>0.2</v>
      </c>
      <c r="X14" s="820" t="str">
        <f t="shared" si="10"/>
        <v>Catastrófico</v>
      </c>
      <c r="Y14" s="953">
        <f>+IFERROR(VLOOKUP(X14,formulas!$H$1:$I$6,2,FALSE),"")</f>
        <v>1</v>
      </c>
      <c r="Z14" s="820" t="str">
        <f>+IFERROR(VLOOKUP(V14&amp;X14,formulas!$C$2:$D$26,2,FALSE),"")</f>
        <v>Extremo</v>
      </c>
      <c r="AA14" s="953">
        <f t="shared" si="2"/>
        <v>1</v>
      </c>
      <c r="AB14" s="1078" t="s">
        <v>940</v>
      </c>
      <c r="AC14" s="1254" t="s">
        <v>1276</v>
      </c>
      <c r="AD14" s="80" t="s">
        <v>57</v>
      </c>
      <c r="AE14" s="756">
        <f t="shared" si="0"/>
        <v>0.25</v>
      </c>
      <c r="AF14" s="762" t="s">
        <v>229</v>
      </c>
      <c r="AG14" s="756">
        <f t="shared" si="3"/>
        <v>0.15</v>
      </c>
      <c r="AH14" s="756">
        <f t="shared" si="1"/>
        <v>0.4</v>
      </c>
      <c r="AI14" s="1254"/>
      <c r="AJ14" s="757" t="s">
        <v>24</v>
      </c>
      <c r="AK14" s="762" t="s">
        <v>941</v>
      </c>
      <c r="AL14" s="763">
        <f t="shared" si="11"/>
        <v>0.4</v>
      </c>
      <c r="AM14" s="690">
        <f t="shared" si="12"/>
        <v>0.6</v>
      </c>
      <c r="AN14" s="820" t="str">
        <f>+IF(C14="Corrupción","Moderado",IF(AM16&lt;=25%,"Bajo",IF(AM16&lt;=50%,"Moderado",IF(AM16&lt;=75%,"Alto",IF(AM16&gt;75%,"Extremo","")))))</f>
        <v>Moderado</v>
      </c>
      <c r="AO14" s="131"/>
      <c r="AP14" s="317">
        <v>1</v>
      </c>
      <c r="AQ14" s="702"/>
      <c r="AR14" s="699" t="s">
        <v>932</v>
      </c>
      <c r="AS14" s="519"/>
      <c r="AT14" s="519"/>
      <c r="AU14" s="131"/>
      <c r="AV14" s="130"/>
      <c r="AW14" s="130"/>
      <c r="AX14" s="130"/>
      <c r="AY14" s="130"/>
      <c r="AZ14" s="130"/>
      <c r="BA14" s="130"/>
      <c r="BB14" s="130"/>
      <c r="BC14" s="130"/>
      <c r="BD14" s="130"/>
      <c r="BE14" s="130"/>
      <c r="BF14" s="130"/>
      <c r="BG14" s="130"/>
      <c r="BH14" s="311"/>
    </row>
    <row r="15" spans="1:60" ht="106.9" customHeight="1">
      <c r="A15" s="1094"/>
      <c r="B15" s="1082"/>
      <c r="C15" s="1082"/>
      <c r="D15" s="1082"/>
      <c r="E15" s="1082"/>
      <c r="F15" s="1079"/>
      <c r="G15" s="1097"/>
      <c r="H15" s="1088"/>
      <c r="I15" s="1088"/>
      <c r="J15" s="1082"/>
      <c r="K15" s="1079"/>
      <c r="L15" s="926"/>
      <c r="M15" s="1082"/>
      <c r="N15" s="926"/>
      <c r="O15" s="1082"/>
      <c r="P15" s="926"/>
      <c r="Q15" s="1082"/>
      <c r="R15" s="926"/>
      <c r="S15" s="1085"/>
      <c r="T15" s="1085"/>
      <c r="U15" s="926">
        <f t="shared" si="8"/>
        <v>0</v>
      </c>
      <c r="V15" s="915"/>
      <c r="W15" s="926" t="str">
        <f>+IFERROR(VLOOKUP(V15,formulas!$F$1:$G$6,2,FALSE),"")</f>
        <v/>
      </c>
      <c r="X15" s="821"/>
      <c r="Y15" s="926" t="str">
        <f>+IFERROR(VLOOKUP(X15,formulas!$H$1:$I$6,2,FALSE),"")</f>
        <v/>
      </c>
      <c r="Z15" s="821"/>
      <c r="AA15" s="926" t="str">
        <f t="shared" si="2"/>
        <v/>
      </c>
      <c r="AB15" s="1079"/>
      <c r="AC15" s="1255" t="s">
        <v>1277</v>
      </c>
      <c r="AD15" s="48" t="s">
        <v>57</v>
      </c>
      <c r="AE15" s="754">
        <f t="shared" si="0"/>
        <v>0.25</v>
      </c>
      <c r="AF15" s="760" t="s">
        <v>229</v>
      </c>
      <c r="AG15" s="754">
        <f t="shared" si="3"/>
        <v>0.15</v>
      </c>
      <c r="AH15" s="754">
        <f t="shared" si="1"/>
        <v>0.4</v>
      </c>
      <c r="AI15" s="1255"/>
      <c r="AJ15" s="759" t="s">
        <v>24</v>
      </c>
      <c r="AK15" s="760" t="s">
        <v>941</v>
      </c>
      <c r="AL15" s="751">
        <f>+AM14*AH15</f>
        <v>0.24</v>
      </c>
      <c r="AM15" s="647">
        <f>+AM14-AL15</f>
        <v>0.36</v>
      </c>
      <c r="AN15" s="821"/>
      <c r="AO15" s="75"/>
      <c r="AP15" s="313">
        <v>2</v>
      </c>
      <c r="AQ15" s="703"/>
      <c r="AR15" s="764" t="s">
        <v>1270</v>
      </c>
      <c r="AS15" s="520"/>
      <c r="AT15" s="520"/>
      <c r="AU15" s="75"/>
      <c r="AV15" s="93"/>
      <c r="AW15" s="93"/>
      <c r="AX15" s="93"/>
      <c r="AY15" s="93"/>
      <c r="AZ15" s="93"/>
      <c r="BA15" s="93"/>
      <c r="BB15" s="93"/>
      <c r="BC15" s="93"/>
      <c r="BD15" s="93"/>
      <c r="BE15" s="93"/>
      <c r="BF15" s="93"/>
      <c r="BG15" s="93"/>
    </row>
    <row r="16" spans="1:60" ht="174" customHeight="1" thickBot="1">
      <c r="A16" s="1095"/>
      <c r="B16" s="1083"/>
      <c r="C16" s="1083"/>
      <c r="D16" s="1083"/>
      <c r="E16" s="1083"/>
      <c r="F16" s="1080"/>
      <c r="G16" s="1098"/>
      <c r="H16" s="1089"/>
      <c r="I16" s="1089"/>
      <c r="J16" s="1083"/>
      <c r="K16" s="1080"/>
      <c r="L16" s="927"/>
      <c r="M16" s="1083"/>
      <c r="N16" s="927"/>
      <c r="O16" s="1083"/>
      <c r="P16" s="927"/>
      <c r="Q16" s="1083"/>
      <c r="R16" s="927"/>
      <c r="S16" s="1086"/>
      <c r="T16" s="1086"/>
      <c r="U16" s="927">
        <f t="shared" si="8"/>
        <v>0</v>
      </c>
      <c r="V16" s="1045"/>
      <c r="W16" s="927" t="str">
        <f>+IFERROR(VLOOKUP(V16,formulas!$F$1:$G$6,2,FALSE),"")</f>
        <v/>
      </c>
      <c r="X16" s="822"/>
      <c r="Y16" s="927" t="str">
        <f>+IFERROR(VLOOKUP(X16,formulas!$H$1:$I$6,2,FALSE),"")</f>
        <v/>
      </c>
      <c r="Z16" s="822"/>
      <c r="AA16" s="927" t="str">
        <f t="shared" si="2"/>
        <v/>
      </c>
      <c r="AB16" s="1080"/>
      <c r="AC16" s="1255" t="s">
        <v>1278</v>
      </c>
      <c r="AD16" s="54" t="s">
        <v>22</v>
      </c>
      <c r="AE16" s="755">
        <f t="shared" si="0"/>
        <v>0.1</v>
      </c>
      <c r="AF16" s="761" t="s">
        <v>229</v>
      </c>
      <c r="AG16" s="755">
        <f t="shared" si="3"/>
        <v>0.15</v>
      </c>
      <c r="AH16" s="755">
        <f t="shared" si="1"/>
        <v>0.25</v>
      </c>
      <c r="AI16" s="1256"/>
      <c r="AJ16" s="758"/>
      <c r="AK16" s="761"/>
      <c r="AL16" s="752">
        <f>+AM15*AH16</f>
        <v>0.09</v>
      </c>
      <c r="AM16" s="648">
        <f>+AM15-AL16</f>
        <v>0.27</v>
      </c>
      <c r="AN16" s="822"/>
      <c r="AO16" s="103"/>
      <c r="AP16" s="318">
        <v>3</v>
      </c>
      <c r="AQ16" s="704" t="s">
        <v>942</v>
      </c>
      <c r="AR16" s="701"/>
      <c r="AS16" s="517"/>
      <c r="AT16" s="517"/>
      <c r="AU16" s="103"/>
      <c r="AV16" s="107"/>
      <c r="AW16" s="107"/>
      <c r="AX16" s="107"/>
      <c r="AY16" s="107"/>
      <c r="AZ16" s="107"/>
      <c r="BA16" s="107"/>
      <c r="BB16" s="107"/>
      <c r="BC16" s="107"/>
      <c r="BD16" s="107"/>
      <c r="BE16" s="107"/>
      <c r="BF16" s="107"/>
      <c r="BG16" s="107"/>
      <c r="BH16" s="310"/>
    </row>
    <row r="17" spans="1:59" ht="106.9" customHeight="1" thickBot="1">
      <c r="A17" s="123" t="s">
        <v>231</v>
      </c>
      <c r="B17" s="124" t="s">
        <v>106</v>
      </c>
      <c r="C17" s="124" t="s">
        <v>92</v>
      </c>
      <c r="D17" s="124" t="s">
        <v>79</v>
      </c>
      <c r="E17" s="124" t="s">
        <v>36</v>
      </c>
      <c r="F17" s="125" t="s">
        <v>519</v>
      </c>
      <c r="G17" s="124" t="s">
        <v>520</v>
      </c>
      <c r="H17" s="124" t="s">
        <v>521</v>
      </c>
      <c r="I17" s="125" t="s">
        <v>522</v>
      </c>
      <c r="J17" s="124" t="s">
        <v>66</v>
      </c>
      <c r="K17" s="124">
        <v>1</v>
      </c>
      <c r="L17" s="195">
        <f t="shared" si="4"/>
        <v>8.3333333333333329E-2</v>
      </c>
      <c r="M17" s="124" t="s">
        <v>30</v>
      </c>
      <c r="N17" s="195">
        <f t="shared" si="5"/>
        <v>0.2</v>
      </c>
      <c r="O17" s="124" t="s">
        <v>64</v>
      </c>
      <c r="P17" s="195">
        <f t="shared" si="6"/>
        <v>0.6</v>
      </c>
      <c r="Q17" s="124" t="s">
        <v>73</v>
      </c>
      <c r="R17" s="195">
        <f t="shared" si="7"/>
        <v>0</v>
      </c>
      <c r="S17" s="127" t="s">
        <v>60</v>
      </c>
      <c r="T17" s="127" t="s">
        <v>45</v>
      </c>
      <c r="U17" s="195">
        <f t="shared" si="8"/>
        <v>0.6</v>
      </c>
      <c r="V17" s="419" t="str">
        <f t="shared" si="9"/>
        <v>Muy baja</v>
      </c>
      <c r="W17" s="195">
        <f>+IFERROR(VLOOKUP(V17,formulas!$F$1:$G$6,2,FALSE),"")</f>
        <v>0.2</v>
      </c>
      <c r="X17" s="630" t="str">
        <f t="shared" si="10"/>
        <v>Moderado</v>
      </c>
      <c r="Y17" s="195">
        <f>+IFERROR(VLOOKUP(X17,formulas!$H$1:$I$6,2,FALSE),"")</f>
        <v>0.6</v>
      </c>
      <c r="Z17" s="630" t="str">
        <f>+IFERROR(VLOOKUP(V17&amp;X17,formulas!$C$2:$D$26,2,FALSE),"")</f>
        <v>Moderado</v>
      </c>
      <c r="AA17" s="195">
        <f t="shared" si="2"/>
        <v>0.5</v>
      </c>
      <c r="AB17" s="136" t="s">
        <v>524</v>
      </c>
      <c r="AC17" s="136" t="s">
        <v>638</v>
      </c>
      <c r="AD17" s="120" t="s">
        <v>57</v>
      </c>
      <c r="AE17" s="173">
        <f t="shared" si="0"/>
        <v>0.25</v>
      </c>
      <c r="AF17" s="125" t="s">
        <v>229</v>
      </c>
      <c r="AG17" s="173">
        <f t="shared" si="3"/>
        <v>0.15</v>
      </c>
      <c r="AH17" s="173">
        <f t="shared" si="1"/>
        <v>0.4</v>
      </c>
      <c r="AI17" s="136"/>
      <c r="AJ17" s="124" t="s">
        <v>24</v>
      </c>
      <c r="AK17" s="125" t="s">
        <v>639</v>
      </c>
      <c r="AL17" s="205">
        <f t="shared" si="11"/>
        <v>0.2</v>
      </c>
      <c r="AM17" s="205">
        <f t="shared" si="12"/>
        <v>0.3</v>
      </c>
      <c r="AN17" s="630" t="str">
        <f t="shared" ref="AN17:AN22" si="13">+IF(C17="Corrupción","Moderado",IF(AM17&lt;=25%,"Bajo",IF(AM17&lt;=50%,"Moderado",IF(AM17&lt;=75%,"Alto",IF(AM17&gt;75%,"Extremo","")))))</f>
        <v>Moderado</v>
      </c>
      <c r="AO17" s="136"/>
      <c r="AP17" s="122">
        <v>1</v>
      </c>
      <c r="AQ17" s="137" t="s">
        <v>525</v>
      </c>
      <c r="AR17" s="138" t="s">
        <v>164</v>
      </c>
      <c r="AS17" s="521"/>
      <c r="AT17" s="521"/>
      <c r="AU17" s="136"/>
      <c r="AV17" s="133"/>
      <c r="AW17" s="133"/>
      <c r="AX17" s="133"/>
      <c r="AY17" s="133"/>
      <c r="AZ17" s="133"/>
      <c r="BA17" s="133"/>
      <c r="BB17" s="133"/>
      <c r="BC17" s="133"/>
      <c r="BD17" s="133"/>
      <c r="BE17" s="133"/>
      <c r="BF17" s="133"/>
      <c r="BG17" s="133"/>
    </row>
    <row r="18" spans="1:59" ht="164.25" customHeight="1" thickBot="1">
      <c r="A18" s="123" t="s">
        <v>231</v>
      </c>
      <c r="B18" s="124" t="s">
        <v>106</v>
      </c>
      <c r="C18" s="124" t="s">
        <v>109</v>
      </c>
      <c r="D18" s="124" t="s">
        <v>35</v>
      </c>
      <c r="E18" s="124" t="s">
        <v>80</v>
      </c>
      <c r="F18" s="114" t="s">
        <v>943</v>
      </c>
      <c r="G18" s="120" t="s">
        <v>944</v>
      </c>
      <c r="H18" s="191" t="s">
        <v>945</v>
      </c>
      <c r="I18" s="191" t="s">
        <v>946</v>
      </c>
      <c r="J18" s="124" t="s">
        <v>33</v>
      </c>
      <c r="K18" s="124">
        <v>72</v>
      </c>
      <c r="L18" s="195">
        <f t="shared" si="4"/>
        <v>0.2</v>
      </c>
      <c r="M18" s="124" t="s">
        <v>73</v>
      </c>
      <c r="N18" s="195">
        <f t="shared" si="5"/>
        <v>0</v>
      </c>
      <c r="O18" s="124" t="s">
        <v>64</v>
      </c>
      <c r="P18" s="195">
        <f t="shared" si="6"/>
        <v>0.6</v>
      </c>
      <c r="Q18" s="124" t="s">
        <v>73</v>
      </c>
      <c r="R18" s="195">
        <f t="shared" si="7"/>
        <v>0</v>
      </c>
      <c r="S18" s="127" t="s">
        <v>72</v>
      </c>
      <c r="T18" s="127" t="s">
        <v>28</v>
      </c>
      <c r="U18" s="195">
        <f t="shared" si="8"/>
        <v>0.6</v>
      </c>
      <c r="V18" s="419" t="str">
        <f t="shared" si="9"/>
        <v>Muy baja</v>
      </c>
      <c r="W18" s="195">
        <f>+IFERROR(VLOOKUP(V18,formulas!$F$1:$G$6,2,FALSE),"")</f>
        <v>0.2</v>
      </c>
      <c r="X18" s="630" t="str">
        <f t="shared" si="10"/>
        <v>Moderado</v>
      </c>
      <c r="Y18" s="195">
        <f>+IFERROR(VLOOKUP(X18,formulas!$H$1:$I$6,2,FALSE),"")</f>
        <v>0.6</v>
      </c>
      <c r="Z18" s="630" t="str">
        <f>+IFERROR(VLOOKUP(V18&amp;X18,formulas!$C$2:$D$26,2,FALSE),"")</f>
        <v>Moderado</v>
      </c>
      <c r="AA18" s="195">
        <f t="shared" si="2"/>
        <v>0.5</v>
      </c>
      <c r="AB18" s="319" t="s">
        <v>947</v>
      </c>
      <c r="AC18" s="323" t="s">
        <v>948</v>
      </c>
      <c r="AD18" s="120" t="s">
        <v>57</v>
      </c>
      <c r="AE18" s="173">
        <f t="shared" si="0"/>
        <v>0.25</v>
      </c>
      <c r="AF18" s="125" t="s">
        <v>229</v>
      </c>
      <c r="AG18" s="173">
        <f t="shared" si="3"/>
        <v>0.15</v>
      </c>
      <c r="AH18" s="173">
        <f t="shared" si="1"/>
        <v>0.4</v>
      </c>
      <c r="AI18" s="136"/>
      <c r="AJ18" s="124" t="s">
        <v>24</v>
      </c>
      <c r="AK18" s="125" t="s">
        <v>646</v>
      </c>
      <c r="AL18" s="205">
        <f t="shared" si="11"/>
        <v>0.2</v>
      </c>
      <c r="AM18" s="205">
        <f t="shared" si="12"/>
        <v>0.3</v>
      </c>
      <c r="AN18" s="630" t="str">
        <f t="shared" si="13"/>
        <v>Moderado</v>
      </c>
      <c r="AO18" s="136"/>
      <c r="AP18" s="273">
        <v>1</v>
      </c>
      <c r="AQ18" s="273" t="s">
        <v>949</v>
      </c>
      <c r="AR18" s="138" t="s">
        <v>164</v>
      </c>
      <c r="AS18" s="521"/>
      <c r="AT18" s="521"/>
      <c r="AU18" s="136"/>
      <c r="AV18" s="133"/>
      <c r="AW18" s="133"/>
      <c r="AX18" s="133"/>
      <c r="AY18" s="133"/>
      <c r="AZ18" s="133"/>
      <c r="BA18" s="133"/>
      <c r="BB18" s="133"/>
      <c r="BC18" s="133"/>
      <c r="BD18" s="133"/>
      <c r="BE18" s="133"/>
      <c r="BF18" s="133"/>
      <c r="BG18" s="133"/>
    </row>
    <row r="19" spans="1:59" ht="106.9" customHeight="1" thickBot="1">
      <c r="A19" s="297" t="s">
        <v>51</v>
      </c>
      <c r="B19" s="135" t="s">
        <v>106</v>
      </c>
      <c r="C19" s="135" t="s">
        <v>150</v>
      </c>
      <c r="D19" s="135" t="s">
        <v>79</v>
      </c>
      <c r="E19" s="135" t="s">
        <v>36</v>
      </c>
      <c r="F19" s="320" t="s">
        <v>936</v>
      </c>
      <c r="G19" s="230" t="s">
        <v>950</v>
      </c>
      <c r="H19" s="135" t="s">
        <v>951</v>
      </c>
      <c r="I19" s="321" t="s">
        <v>952</v>
      </c>
      <c r="J19" s="135" t="s">
        <v>33</v>
      </c>
      <c r="K19" s="320">
        <v>1</v>
      </c>
      <c r="L19" s="195">
        <f t="shared" si="4"/>
        <v>2.7777777777777779E-3</v>
      </c>
      <c r="M19" s="135" t="s">
        <v>86</v>
      </c>
      <c r="N19" s="195">
        <f t="shared" si="5"/>
        <v>1</v>
      </c>
      <c r="O19" s="135" t="s">
        <v>73</v>
      </c>
      <c r="P19" s="195">
        <f t="shared" si="6"/>
        <v>0</v>
      </c>
      <c r="Q19" s="135" t="s">
        <v>73</v>
      </c>
      <c r="R19" s="195">
        <f t="shared" si="7"/>
        <v>0</v>
      </c>
      <c r="S19" s="322" t="s">
        <v>60</v>
      </c>
      <c r="T19" s="127" t="s">
        <v>61</v>
      </c>
      <c r="U19" s="195">
        <f t="shared" si="8"/>
        <v>1</v>
      </c>
      <c r="V19" s="419" t="str">
        <f t="shared" si="9"/>
        <v>Muy baja</v>
      </c>
      <c r="W19" s="195">
        <f>+IFERROR(VLOOKUP(V19,formulas!$F$1:$G$6,2,FALSE),"")</f>
        <v>0.2</v>
      </c>
      <c r="X19" s="630" t="str">
        <f t="shared" si="10"/>
        <v>Catastrófico</v>
      </c>
      <c r="Y19" s="195">
        <f>+IFERROR(VLOOKUP(X19,formulas!$H$1:$I$6,2,FALSE),"")</f>
        <v>1</v>
      </c>
      <c r="Z19" s="630" t="str">
        <f>+IFERROR(VLOOKUP(V19&amp;X19,formulas!$C$2:$D$26,2,FALSE),"")</f>
        <v>Extremo</v>
      </c>
      <c r="AA19" s="195">
        <f t="shared" si="2"/>
        <v>1</v>
      </c>
      <c r="AB19" s="136"/>
      <c r="AC19" s="323" t="s">
        <v>953</v>
      </c>
      <c r="AD19" s="140" t="s">
        <v>57</v>
      </c>
      <c r="AE19" s="173">
        <f t="shared" si="0"/>
        <v>0.25</v>
      </c>
      <c r="AF19" s="321" t="s">
        <v>229</v>
      </c>
      <c r="AG19" s="173">
        <f t="shared" si="3"/>
        <v>0.15</v>
      </c>
      <c r="AH19" s="173">
        <f t="shared" si="1"/>
        <v>0.4</v>
      </c>
      <c r="AI19" s="136"/>
      <c r="AJ19" s="135" t="s">
        <v>24</v>
      </c>
      <c r="AK19" s="324" t="s">
        <v>954</v>
      </c>
      <c r="AL19" s="205">
        <f t="shared" si="11"/>
        <v>0.4</v>
      </c>
      <c r="AM19" s="205">
        <f t="shared" si="12"/>
        <v>0.6</v>
      </c>
      <c r="AN19" s="630" t="str">
        <f t="shared" si="13"/>
        <v>Alto</v>
      </c>
      <c r="AO19" s="136"/>
      <c r="AP19" s="325">
        <v>1</v>
      </c>
      <c r="AQ19" s="321"/>
      <c r="AR19" s="135"/>
      <c r="AS19" s="521"/>
      <c r="AT19" s="521"/>
      <c r="AU19" s="136"/>
      <c r="AV19" s="133"/>
      <c r="AW19" s="133"/>
      <c r="AX19" s="133"/>
      <c r="AY19" s="133"/>
      <c r="AZ19" s="133"/>
      <c r="BA19" s="133"/>
      <c r="BB19" s="133"/>
      <c r="BC19" s="133"/>
      <c r="BD19" s="133"/>
      <c r="BE19" s="133"/>
      <c r="BF19" s="133"/>
      <c r="BG19" s="133"/>
    </row>
    <row r="20" spans="1:59" ht="106.9" customHeight="1" thickBot="1">
      <c r="A20" s="297" t="s">
        <v>51</v>
      </c>
      <c r="B20" s="135" t="s">
        <v>106</v>
      </c>
      <c r="C20" s="135" t="s">
        <v>150</v>
      </c>
      <c r="D20" s="135" t="s">
        <v>79</v>
      </c>
      <c r="E20" s="135" t="s">
        <v>36</v>
      </c>
      <c r="F20" s="320" t="s">
        <v>936</v>
      </c>
      <c r="G20" s="230" t="s">
        <v>955</v>
      </c>
      <c r="H20" s="135" t="s">
        <v>956</v>
      </c>
      <c r="I20" s="321" t="s">
        <v>952</v>
      </c>
      <c r="J20" s="135" t="s">
        <v>33</v>
      </c>
      <c r="K20" s="320">
        <v>1</v>
      </c>
      <c r="L20" s="195">
        <f t="shared" si="4"/>
        <v>2.7777777777777779E-3</v>
      </c>
      <c r="M20" s="135" t="s">
        <v>86</v>
      </c>
      <c r="N20" s="195">
        <f t="shared" si="5"/>
        <v>1</v>
      </c>
      <c r="O20" s="135" t="s">
        <v>73</v>
      </c>
      <c r="P20" s="195">
        <f t="shared" si="6"/>
        <v>0</v>
      </c>
      <c r="Q20" s="135" t="s">
        <v>73</v>
      </c>
      <c r="R20" s="195">
        <f t="shared" si="7"/>
        <v>0</v>
      </c>
      <c r="S20" s="322" t="s">
        <v>60</v>
      </c>
      <c r="T20" s="127" t="s">
        <v>61</v>
      </c>
      <c r="U20" s="195">
        <f t="shared" si="8"/>
        <v>1</v>
      </c>
      <c r="V20" s="419" t="str">
        <f t="shared" si="9"/>
        <v>Muy baja</v>
      </c>
      <c r="W20" s="195">
        <f>+IFERROR(VLOOKUP(V20,formulas!$F$1:$G$6,2,FALSE),"")</f>
        <v>0.2</v>
      </c>
      <c r="X20" s="630" t="str">
        <f t="shared" si="10"/>
        <v>Catastrófico</v>
      </c>
      <c r="Y20" s="195">
        <f>+IFERROR(VLOOKUP(X20,formulas!$H$1:$I$6,2,FALSE),"")</f>
        <v>1</v>
      </c>
      <c r="Z20" s="630" t="str">
        <f>+IFERROR(VLOOKUP(V20&amp;X20,formulas!$C$2:$D$26,2,FALSE),"")</f>
        <v>Extremo</v>
      </c>
      <c r="AA20" s="195">
        <f t="shared" si="2"/>
        <v>1</v>
      </c>
      <c r="AB20" s="136"/>
      <c r="AC20" s="323" t="s">
        <v>957</v>
      </c>
      <c r="AD20" s="140" t="s">
        <v>57</v>
      </c>
      <c r="AE20" s="173">
        <f t="shared" si="0"/>
        <v>0.25</v>
      </c>
      <c r="AF20" s="321" t="s">
        <v>229</v>
      </c>
      <c r="AG20" s="173">
        <f t="shared" si="3"/>
        <v>0.15</v>
      </c>
      <c r="AH20" s="173">
        <f t="shared" si="1"/>
        <v>0.4</v>
      </c>
      <c r="AI20" s="136"/>
      <c r="AJ20" s="135" t="s">
        <v>24</v>
      </c>
      <c r="AK20" s="321" t="s">
        <v>958</v>
      </c>
      <c r="AL20" s="205">
        <f t="shared" si="11"/>
        <v>0.4</v>
      </c>
      <c r="AM20" s="205">
        <f t="shared" si="12"/>
        <v>0.6</v>
      </c>
      <c r="AN20" s="630" t="str">
        <f t="shared" si="13"/>
        <v>Alto</v>
      </c>
      <c r="AO20" s="136"/>
      <c r="AP20" s="325">
        <v>1</v>
      </c>
      <c r="AQ20" s="321"/>
      <c r="AR20" s="135"/>
      <c r="AS20" s="521"/>
      <c r="AT20" s="521"/>
      <c r="AU20" s="136"/>
      <c r="AV20" s="133"/>
      <c r="AW20" s="133"/>
      <c r="AX20" s="133"/>
      <c r="AY20" s="133"/>
      <c r="AZ20" s="133"/>
      <c r="BA20" s="133"/>
      <c r="BB20" s="133"/>
      <c r="BC20" s="133"/>
      <c r="BD20" s="133"/>
      <c r="BE20" s="133"/>
      <c r="BF20" s="133"/>
      <c r="BG20" s="133"/>
    </row>
    <row r="21" spans="1:59" ht="233.25" customHeight="1" thickBot="1">
      <c r="A21" s="113" t="s">
        <v>51</v>
      </c>
      <c r="B21" s="114" t="s">
        <v>541</v>
      </c>
      <c r="C21" s="114" t="s">
        <v>58</v>
      </c>
      <c r="D21" s="114" t="s">
        <v>79</v>
      </c>
      <c r="E21" s="114" t="s">
        <v>80</v>
      </c>
      <c r="F21" s="125" t="s">
        <v>542</v>
      </c>
      <c r="G21" s="116" t="s">
        <v>457</v>
      </c>
      <c r="H21" s="125" t="s">
        <v>543</v>
      </c>
      <c r="I21" s="125" t="s">
        <v>544</v>
      </c>
      <c r="J21" s="117" t="s">
        <v>95</v>
      </c>
      <c r="K21" s="115">
        <v>1</v>
      </c>
      <c r="L21" s="195">
        <f t="shared" si="4"/>
        <v>0.5</v>
      </c>
      <c r="M21" s="115" t="s">
        <v>47</v>
      </c>
      <c r="N21" s="195">
        <f t="shared" si="5"/>
        <v>0.4</v>
      </c>
      <c r="O21" s="118" t="s">
        <v>76</v>
      </c>
      <c r="P21" s="195">
        <f t="shared" si="6"/>
        <v>0.8</v>
      </c>
      <c r="Q21" s="115" t="s">
        <v>73</v>
      </c>
      <c r="R21" s="195">
        <f t="shared" si="7"/>
        <v>0</v>
      </c>
      <c r="S21" s="119" t="s">
        <v>60</v>
      </c>
      <c r="T21" s="119" t="s">
        <v>73</v>
      </c>
      <c r="U21" s="195">
        <f t="shared" si="8"/>
        <v>0.8</v>
      </c>
      <c r="V21" s="419" t="str">
        <f t="shared" si="9"/>
        <v>Media</v>
      </c>
      <c r="W21" s="195">
        <f>+IFERROR(VLOOKUP(V21,formulas!$F$1:$G$6,2,FALSE),"")</f>
        <v>0.6</v>
      </c>
      <c r="X21" s="630" t="str">
        <f t="shared" si="10"/>
        <v>Mayor</v>
      </c>
      <c r="Y21" s="195">
        <f>+IFERROR(VLOOKUP(X21,formulas!$H$1:$I$6,2,FALSE),"")</f>
        <v>0.8</v>
      </c>
      <c r="Z21" s="630" t="str">
        <f>+IFERROR(VLOOKUP(V21&amp;X21,formulas!$C$2:$D$26,2,FALSE),"")</f>
        <v>Alto</v>
      </c>
      <c r="AA21" s="195">
        <f t="shared" si="2"/>
        <v>0.75</v>
      </c>
      <c r="AB21" s="524"/>
      <c r="AC21" s="129" t="s">
        <v>545</v>
      </c>
      <c r="AD21" s="115" t="s">
        <v>57</v>
      </c>
      <c r="AE21" s="173">
        <f t="shared" si="0"/>
        <v>0.25</v>
      </c>
      <c r="AF21" s="115" t="s">
        <v>229</v>
      </c>
      <c r="AG21" s="173">
        <f t="shared" si="3"/>
        <v>0.15</v>
      </c>
      <c r="AH21" s="173">
        <f t="shared" si="1"/>
        <v>0.4</v>
      </c>
      <c r="AI21" s="115" t="s">
        <v>230</v>
      </c>
      <c r="AJ21" s="115" t="s">
        <v>24</v>
      </c>
      <c r="AK21" s="115" t="s">
        <v>546</v>
      </c>
      <c r="AL21" s="205">
        <f t="shared" si="11"/>
        <v>0.30000000000000004</v>
      </c>
      <c r="AM21" s="205">
        <f t="shared" si="12"/>
        <v>0.44999999999999996</v>
      </c>
      <c r="AN21" s="630" t="str">
        <f t="shared" si="13"/>
        <v>Moderado</v>
      </c>
      <c r="AO21" s="136"/>
      <c r="AP21" s="121">
        <v>1</v>
      </c>
      <c r="AQ21" s="522"/>
      <c r="AR21" s="522"/>
      <c r="AS21" s="521"/>
      <c r="AT21" s="521"/>
      <c r="AU21" s="136"/>
      <c r="AV21" s="133"/>
      <c r="AW21" s="133"/>
      <c r="AX21" s="133"/>
      <c r="AY21" s="133"/>
      <c r="AZ21" s="133"/>
      <c r="BA21" s="133"/>
      <c r="BB21" s="133"/>
      <c r="BC21" s="133"/>
      <c r="BD21" s="133"/>
      <c r="BE21" s="133"/>
      <c r="BF21" s="133"/>
      <c r="BG21" s="133"/>
    </row>
    <row r="22" spans="1:59" ht="106.9" customHeight="1" thickBot="1">
      <c r="A22" s="123" t="s">
        <v>231</v>
      </c>
      <c r="B22" s="124" t="s">
        <v>29</v>
      </c>
      <c r="C22" s="124" t="s">
        <v>92</v>
      </c>
      <c r="D22" s="124" t="s">
        <v>79</v>
      </c>
      <c r="E22" s="124" t="s">
        <v>36</v>
      </c>
      <c r="F22" s="125" t="s">
        <v>547</v>
      </c>
      <c r="G22" s="124" t="s">
        <v>548</v>
      </c>
      <c r="H22" s="126" t="s">
        <v>549</v>
      </c>
      <c r="I22" s="125" t="s">
        <v>550</v>
      </c>
      <c r="J22" s="124" t="s">
        <v>66</v>
      </c>
      <c r="K22" s="124">
        <v>1</v>
      </c>
      <c r="L22" s="195">
        <f t="shared" si="4"/>
        <v>8.3333333333333329E-2</v>
      </c>
      <c r="M22" s="124" t="s">
        <v>73</v>
      </c>
      <c r="N22" s="195">
        <f t="shared" si="5"/>
        <v>0</v>
      </c>
      <c r="O22" s="124" t="s">
        <v>31</v>
      </c>
      <c r="P22" s="195">
        <f t="shared" si="6"/>
        <v>0.2</v>
      </c>
      <c r="Q22" s="124" t="s">
        <v>73</v>
      </c>
      <c r="R22" s="195">
        <f t="shared" si="7"/>
        <v>0</v>
      </c>
      <c r="S22" s="127" t="s">
        <v>60</v>
      </c>
      <c r="T22" s="127" t="s">
        <v>45</v>
      </c>
      <c r="U22" s="195">
        <f t="shared" si="8"/>
        <v>0.2</v>
      </c>
      <c r="V22" s="419" t="str">
        <f t="shared" si="9"/>
        <v>Muy baja</v>
      </c>
      <c r="W22" s="195">
        <f>+IFERROR(VLOOKUP(V22,formulas!$F$1:$G$6,2,FALSE),"")</f>
        <v>0.2</v>
      </c>
      <c r="X22" s="630" t="str">
        <f t="shared" si="10"/>
        <v>Leve</v>
      </c>
      <c r="Y22" s="195">
        <f>+IFERROR(VLOOKUP(X22,formulas!$H$1:$I$6,2,FALSE),"")</f>
        <v>0.2</v>
      </c>
      <c r="Z22" s="630" t="str">
        <f>+IFERROR(VLOOKUP(V22&amp;X22,formulas!$C$2:$D$26,2,FALSE),"")</f>
        <v>Bajo</v>
      </c>
      <c r="AA22" s="195">
        <f t="shared" si="2"/>
        <v>0.25</v>
      </c>
      <c r="AB22" s="128" t="s">
        <v>551</v>
      </c>
      <c r="AC22" s="129" t="s">
        <v>552</v>
      </c>
      <c r="AD22" s="120" t="s">
        <v>57</v>
      </c>
      <c r="AE22" s="173">
        <f t="shared" si="0"/>
        <v>0.25</v>
      </c>
      <c r="AF22" s="125" t="s">
        <v>553</v>
      </c>
      <c r="AG22" s="173">
        <f t="shared" si="3"/>
        <v>0.25</v>
      </c>
      <c r="AH22" s="173">
        <f t="shared" si="1"/>
        <v>0.5</v>
      </c>
      <c r="AI22" s="136"/>
      <c r="AJ22" s="124" t="s">
        <v>24</v>
      </c>
      <c r="AK22" s="125" t="s">
        <v>554</v>
      </c>
      <c r="AL22" s="205">
        <f t="shared" si="11"/>
        <v>0.125</v>
      </c>
      <c r="AM22" s="205">
        <f t="shared" si="12"/>
        <v>0.125</v>
      </c>
      <c r="AN22" s="630" t="str">
        <f t="shared" si="13"/>
        <v>Bajo</v>
      </c>
      <c r="AO22" s="136"/>
      <c r="AP22" s="122">
        <v>1</v>
      </c>
      <c r="AQ22" s="523"/>
      <c r="AR22" s="124"/>
      <c r="AS22" s="521"/>
      <c r="AT22" s="521"/>
      <c r="AU22" s="136"/>
      <c r="AV22" s="133"/>
      <c r="AW22" s="133"/>
      <c r="AX22" s="133"/>
      <c r="AY22" s="133"/>
      <c r="AZ22" s="133"/>
      <c r="BA22" s="133"/>
      <c r="BB22" s="133"/>
      <c r="BC22" s="133"/>
      <c r="BD22" s="133"/>
      <c r="BE22" s="133"/>
      <c r="BF22" s="133"/>
      <c r="BG22" s="133"/>
    </row>
  </sheetData>
  <mergeCells count="137">
    <mergeCell ref="AI2:AK2"/>
    <mergeCell ref="AA4:AA7"/>
    <mergeCell ref="AB4:AB7"/>
    <mergeCell ref="AT2:AT3"/>
    <mergeCell ref="BA2:BE2"/>
    <mergeCell ref="A1:T2"/>
    <mergeCell ref="G4:G7"/>
    <mergeCell ref="F4:F7"/>
    <mergeCell ref="M4:M7"/>
    <mergeCell ref="Z4:Z7"/>
    <mergeCell ref="AM1:AO1"/>
    <mergeCell ref="AP1:AU1"/>
    <mergeCell ref="AU2:AU3"/>
    <mergeCell ref="AV2:AZ2"/>
    <mergeCell ref="G3:H3"/>
    <mergeCell ref="AJ3:AK3"/>
    <mergeCell ref="AL2:AN3"/>
    <mergeCell ref="AO2:AO3"/>
    <mergeCell ref="AP2:AQ3"/>
    <mergeCell ref="AR2:AR3"/>
    <mergeCell ref="O4:O7"/>
    <mergeCell ref="Y4:Y7"/>
    <mergeCell ref="AS2:AS3"/>
    <mergeCell ref="U1:AB2"/>
    <mergeCell ref="AC1:AK1"/>
    <mergeCell ref="AV1:BE1"/>
    <mergeCell ref="AC2:AC3"/>
    <mergeCell ref="AD2:AG2"/>
    <mergeCell ref="AH2:AH3"/>
    <mergeCell ref="O8:O10"/>
    <mergeCell ref="F8:F10"/>
    <mergeCell ref="T4:T7"/>
    <mergeCell ref="X4:X7"/>
    <mergeCell ref="R4:R7"/>
    <mergeCell ref="K4:K7"/>
    <mergeCell ref="A4:A7"/>
    <mergeCell ref="B4:B7"/>
    <mergeCell ref="C4:C7"/>
    <mergeCell ref="D4:D7"/>
    <mergeCell ref="S4:S7"/>
    <mergeCell ref="A8:A10"/>
    <mergeCell ref="H4:H7"/>
    <mergeCell ref="I4:I7"/>
    <mergeCell ref="J4:J7"/>
    <mergeCell ref="E4:E7"/>
    <mergeCell ref="U4:U7"/>
    <mergeCell ref="V4:V7"/>
    <mergeCell ref="W4:W7"/>
    <mergeCell ref="U8:U10"/>
    <mergeCell ref="V8:V10"/>
    <mergeCell ref="W8:W10"/>
    <mergeCell ref="X8:X10"/>
    <mergeCell ref="A14:A16"/>
    <mergeCell ref="B14:B16"/>
    <mergeCell ref="C14:C16"/>
    <mergeCell ref="D14:D16"/>
    <mergeCell ref="E14:E16"/>
    <mergeCell ref="F14:F16"/>
    <mergeCell ref="F11:F13"/>
    <mergeCell ref="G8:G10"/>
    <mergeCell ref="H8:H10"/>
    <mergeCell ref="G14:G16"/>
    <mergeCell ref="H14:H16"/>
    <mergeCell ref="A11:A13"/>
    <mergeCell ref="B11:B13"/>
    <mergeCell ref="C11:C13"/>
    <mergeCell ref="D11:D13"/>
    <mergeCell ref="E11:E13"/>
    <mergeCell ref="B8:B10"/>
    <mergeCell ref="C8:C10"/>
    <mergeCell ref="D8:D10"/>
    <mergeCell ref="E8:E10"/>
    <mergeCell ref="I14:I16"/>
    <mergeCell ref="J14:J16"/>
    <mergeCell ref="H11:H13"/>
    <mergeCell ref="G11:G13"/>
    <mergeCell ref="N4:N7"/>
    <mergeCell ref="I11:I13"/>
    <mergeCell ref="J11:J13"/>
    <mergeCell ref="I8:I10"/>
    <mergeCell ref="J8:J10"/>
    <mergeCell ref="K8:K10"/>
    <mergeCell ref="L11:L13"/>
    <mergeCell ref="L8:L10"/>
    <mergeCell ref="L4:L7"/>
    <mergeCell ref="M11:M13"/>
    <mergeCell ref="K11:K13"/>
    <mergeCell ref="M14:M16"/>
    <mergeCell ref="N14:N16"/>
    <mergeCell ref="N11:N13"/>
    <mergeCell ref="N8:N10"/>
    <mergeCell ref="K14:K16"/>
    <mergeCell ref="L14:L16"/>
    <mergeCell ref="M8:M10"/>
    <mergeCell ref="Y8:Y10"/>
    <mergeCell ref="R8:R10"/>
    <mergeCell ref="R11:R13"/>
    <mergeCell ref="R14:R16"/>
    <mergeCell ref="P4:P7"/>
    <mergeCell ref="Q4:Q7"/>
    <mergeCell ref="S8:S10"/>
    <mergeCell ref="T8:T10"/>
    <mergeCell ref="T11:T13"/>
    <mergeCell ref="T14:T16"/>
    <mergeCell ref="S11:S13"/>
    <mergeCell ref="S14:S16"/>
    <mergeCell ref="P14:P16"/>
    <mergeCell ref="P11:P13"/>
    <mergeCell ref="P8:P10"/>
    <mergeCell ref="Q8:Q10"/>
    <mergeCell ref="Q11:Q13"/>
    <mergeCell ref="Q14:Q16"/>
    <mergeCell ref="U11:U13"/>
    <mergeCell ref="V11:V13"/>
    <mergeCell ref="W11:W13"/>
    <mergeCell ref="X11:X13"/>
    <mergeCell ref="Y11:Y13"/>
    <mergeCell ref="O11:O13"/>
    <mergeCell ref="O14:O16"/>
    <mergeCell ref="U14:U16"/>
    <mergeCell ref="V14:V16"/>
    <mergeCell ref="W14:W16"/>
    <mergeCell ref="X14:X16"/>
    <mergeCell ref="Y14:Y16"/>
    <mergeCell ref="Z14:Z16"/>
    <mergeCell ref="AA14:AA16"/>
    <mergeCell ref="AB8:AB10"/>
    <mergeCell ref="AB11:AB13"/>
    <mergeCell ref="AB14:AB16"/>
    <mergeCell ref="AN4:AN7"/>
    <mergeCell ref="AN8:AN10"/>
    <mergeCell ref="AN11:AN13"/>
    <mergeCell ref="AN14:AN16"/>
    <mergeCell ref="Z8:Z10"/>
    <mergeCell ref="AA8:AA10"/>
    <mergeCell ref="Z11:Z13"/>
    <mergeCell ref="AA11:AA13"/>
  </mergeCells>
  <conditionalFormatting sqref="V4 V8 V11 V14 V17:V22">
    <cfRule type="expression" dxfId="211" priority="73" stopIfTrue="1">
      <formula>NOT(ISERROR(SEARCH("Muy alta",V4)))</formula>
    </cfRule>
    <cfRule type="expression" dxfId="210" priority="74" stopIfTrue="1">
      <formula>NOT(ISERROR(SEARCH("Alta",V4)))</formula>
    </cfRule>
    <cfRule type="expression" dxfId="209" priority="75" stopIfTrue="1">
      <formula>NOT(ISERROR(SEARCH("Media",V4)))</formula>
    </cfRule>
  </conditionalFormatting>
  <conditionalFormatting sqref="X4 X8 X11 X14 X17:X22">
    <cfRule type="containsText" dxfId="208" priority="9" operator="containsText" text="Catastrófico">
      <formula>NOT(ISERROR(SEARCH("Catastrófico",X4)))</formula>
    </cfRule>
    <cfRule type="containsText" dxfId="207" priority="10" operator="containsText" text="Mayor">
      <formula>NOT(ISERROR(SEARCH("Mayor",X4)))</formula>
    </cfRule>
    <cfRule type="containsText" dxfId="206" priority="11" operator="containsText" text="Moderado">
      <formula>NOT(ISERROR(SEARCH("Moderado",X4)))</formula>
    </cfRule>
    <cfRule type="containsText" dxfId="205" priority="12" operator="containsText" text="Menor">
      <formula>NOT(ISERROR(SEARCH("Menor",X4)))</formula>
    </cfRule>
    <cfRule type="containsText" dxfId="204" priority="13" operator="containsText" text="Leve">
      <formula>NOT(ISERROR(SEARCH("Leve",X4)))</formula>
    </cfRule>
  </conditionalFormatting>
  <conditionalFormatting sqref="Z4 Z8 Z11 Z14 Z17:Z22">
    <cfRule type="containsText" dxfId="203" priority="5" operator="containsText" text="Alto">
      <formula>NOT(ISERROR(SEARCH("Alto",Z4)))</formula>
    </cfRule>
    <cfRule type="containsText" dxfId="202" priority="6" operator="containsText" text="Moderado">
      <formula>NOT(ISERROR(SEARCH("Moderado",Z4)))</formula>
    </cfRule>
    <cfRule type="containsText" dxfId="201" priority="7" operator="containsText" text="Extremo">
      <formula>NOT(ISERROR(SEARCH("Extremo",Z4)))</formula>
    </cfRule>
    <cfRule type="containsText" dxfId="200" priority="8" operator="containsText" text="Bajo">
      <formula>NOT(ISERROR(SEARCH("Bajo",Z4)))</formula>
    </cfRule>
  </conditionalFormatting>
  <conditionalFormatting sqref="AC8">
    <cfRule type="containsText" dxfId="199" priority="58" operator="containsText" text="BAJA">
      <formula>NOT(ISERROR(SEARCH("BAJA",AC8)))</formula>
    </cfRule>
    <cfRule type="containsText" dxfId="198" priority="59" operator="containsText" text="MEDIA">
      <formula>NOT(ISERROR(SEARCH("MEDIA",AC8)))</formula>
    </cfRule>
    <cfRule type="containsText" dxfId="197" priority="60" operator="containsText" text="ALTA">
      <formula>NOT(ISERROR(SEARCH("ALTA",AC8)))</formula>
    </cfRule>
  </conditionalFormatting>
  <conditionalFormatting sqref="AI4:AI6">
    <cfRule type="containsText" dxfId="196" priority="70" operator="containsText" text="BAJA">
      <formula>NOT(ISERROR(SEARCH("BAJA",AI4)))</formula>
    </cfRule>
    <cfRule type="containsText" dxfId="195" priority="71" operator="containsText" text="MEDIA">
      <formula>NOT(ISERROR(SEARCH("MEDIA",AI4)))</formula>
    </cfRule>
    <cfRule type="containsText" dxfId="194" priority="72" operator="containsText" text="ALTA">
      <formula>NOT(ISERROR(SEARCH("ALTA",AI4)))</formula>
    </cfRule>
  </conditionalFormatting>
  <conditionalFormatting sqref="AI21">
    <cfRule type="containsText" dxfId="193" priority="49" operator="containsText" text="BAJA">
      <formula>NOT(ISERROR(SEARCH("BAJA",AI21)))</formula>
    </cfRule>
    <cfRule type="containsText" dxfId="192" priority="50" operator="containsText" text="MEDIA">
      <formula>NOT(ISERROR(SEARCH("MEDIA",AI21)))</formula>
    </cfRule>
    <cfRule type="containsText" dxfId="191" priority="51" operator="containsText" text="ALTA">
      <formula>NOT(ISERROR(SEARCH("ALTA",AI21)))</formula>
    </cfRule>
  </conditionalFormatting>
  <conditionalFormatting sqref="AJ17">
    <cfRule type="containsText" dxfId="190" priority="52" operator="containsText" text="BAJA">
      <formula>NOT(ISERROR(SEARCH("BAJA",AJ17)))</formula>
    </cfRule>
    <cfRule type="containsText" dxfId="189" priority="53" operator="containsText" text="MEDIA">
      <formula>NOT(ISERROR(SEARCH("MEDIA",AJ17)))</formula>
    </cfRule>
    <cfRule type="containsText" dxfId="188" priority="54" operator="containsText" text="ALTA">
      <formula>NOT(ISERROR(SEARCH("ALTA",AJ17)))</formula>
    </cfRule>
  </conditionalFormatting>
  <conditionalFormatting sqref="AJ11:AK12">
    <cfRule type="containsText" dxfId="187" priority="46" operator="containsText" text="BAJA">
      <formula>NOT(ISERROR(SEARCH("BAJA",AJ11)))</formula>
    </cfRule>
    <cfRule type="containsText" dxfId="186" priority="47" operator="containsText" text="MEDIA">
      <formula>NOT(ISERROR(SEARCH("MEDIA",AJ11)))</formula>
    </cfRule>
    <cfRule type="containsText" dxfId="185" priority="48" operator="containsText" text="ALTA">
      <formula>NOT(ISERROR(SEARCH("ALTA",AJ11)))</formula>
    </cfRule>
  </conditionalFormatting>
  <conditionalFormatting sqref="AK8:AK10">
    <cfRule type="containsText" dxfId="184" priority="43" operator="containsText" text="BAJA">
      <formula>NOT(ISERROR(SEARCH("BAJA",AK8)))</formula>
    </cfRule>
    <cfRule type="containsText" dxfId="183" priority="44" operator="containsText" text="MEDIA">
      <formula>NOT(ISERROR(SEARCH("MEDIA",AK8)))</formula>
    </cfRule>
    <cfRule type="containsText" dxfId="182" priority="45" operator="containsText" text="ALTA">
      <formula>NOT(ISERROR(SEARCH("ALTA",AK8)))</formula>
    </cfRule>
  </conditionalFormatting>
  <conditionalFormatting sqref="AK13:AK17">
    <cfRule type="containsText" dxfId="181" priority="34" operator="containsText" text="BAJA">
      <formula>NOT(ISERROR(SEARCH("BAJA",AK13)))</formula>
    </cfRule>
    <cfRule type="containsText" dxfId="180" priority="35" operator="containsText" text="MEDIA">
      <formula>NOT(ISERROR(SEARCH("MEDIA",AK13)))</formula>
    </cfRule>
    <cfRule type="containsText" dxfId="179" priority="36" operator="containsText" text="ALTA">
      <formula>NOT(ISERROR(SEARCH("ALTA",AK13)))</formula>
    </cfRule>
  </conditionalFormatting>
  <conditionalFormatting sqref="AK19:AK20">
    <cfRule type="containsText" dxfId="178" priority="28" operator="containsText" text="BAJA">
      <formula>NOT(ISERROR(SEARCH("BAJA",AK19)))</formula>
    </cfRule>
    <cfRule type="containsText" dxfId="177" priority="29" operator="containsText" text="MEDIA">
      <formula>NOT(ISERROR(SEARCH("MEDIA",AK19)))</formula>
    </cfRule>
    <cfRule type="containsText" dxfId="176" priority="30" operator="containsText" text="ALTA">
      <formula>NOT(ISERROR(SEARCH("ALTA",AK19)))</formula>
    </cfRule>
  </conditionalFormatting>
  <conditionalFormatting sqref="AP14:AQ16">
    <cfRule type="containsText" dxfId="175" priority="25" operator="containsText" text="BAJA">
      <formula>NOT(ISERROR(SEARCH("BAJA",AP14)))</formula>
    </cfRule>
    <cfRule type="containsText" dxfId="174" priority="26" operator="containsText" text="MEDIA">
      <formula>NOT(ISERROR(SEARCH("MEDIA",AP14)))</formula>
    </cfRule>
    <cfRule type="containsText" dxfId="173" priority="27" operator="containsText" text="ALTA">
      <formula>NOT(ISERROR(SEARCH("ALTA",AP14)))</formula>
    </cfRule>
  </conditionalFormatting>
  <conditionalFormatting sqref="AP19:AQ20">
    <cfRule type="containsText" dxfId="172" priority="19" operator="containsText" text="BAJA">
      <formula>NOT(ISERROR(SEARCH("BAJA",AP19)))</formula>
    </cfRule>
    <cfRule type="containsText" dxfId="171" priority="20" operator="containsText" text="MEDIA">
      <formula>NOT(ISERROR(SEARCH("MEDIA",AP19)))</formula>
    </cfRule>
    <cfRule type="containsText" dxfId="170" priority="21" operator="containsText" text="ALTA">
      <formula>NOT(ISERROR(SEARCH("ALTA",AP19)))</formula>
    </cfRule>
  </conditionalFormatting>
  <conditionalFormatting sqref="AR17:AR18">
    <cfRule type="containsText" dxfId="169" priority="22" operator="containsText" text="BAJA">
      <formula>NOT(ISERROR(SEARCH("BAJA",AR17)))</formula>
    </cfRule>
    <cfRule type="containsText" dxfId="168" priority="23" operator="containsText" text="MEDIA">
      <formula>NOT(ISERROR(SEARCH("MEDIA",AR17)))</formula>
    </cfRule>
    <cfRule type="containsText" dxfId="167" priority="24" operator="containsText" text="ALTA">
      <formula>NOT(ISERROR(SEARCH("ALTA",AR17)))</formula>
    </cfRule>
  </conditionalFormatting>
  <dataValidations count="3">
    <dataValidation type="list" allowBlank="1" showInputMessage="1" showErrorMessage="1" sqref="A4:A22">
      <formula1>"SI,NO"</formula1>
    </dataValidation>
    <dataValidation type="list" allowBlank="1" showInputMessage="1" showErrorMessage="1" sqref="AF4:AF22">
      <formula1>"Manual,Automático"</formula1>
    </dataValidation>
    <dataValidation type="list" allowBlank="1" showInputMessage="1" showErrorMessage="1" sqref="AI4:AI22">
      <formula1>"Confiable,No confiable"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9"/>
  <sheetViews>
    <sheetView topLeftCell="AJ18" zoomScale="86" zoomScaleNormal="86" workbookViewId="0">
      <selection activeCell="AR20" sqref="AR20:AR21"/>
    </sheetView>
  </sheetViews>
  <sheetFormatPr baseColWidth="10" defaultColWidth="17.28515625" defaultRowHeight="81" customHeight="1"/>
  <cols>
    <col min="1" max="1" width="14.140625" style="81" customWidth="1"/>
    <col min="2" max="2" width="14" style="63" customWidth="1"/>
    <col min="3" max="3" width="17.28515625" style="63" customWidth="1"/>
    <col min="4" max="4" width="19.42578125" style="63" customWidth="1"/>
    <col min="5" max="5" width="19.5703125" style="63" customWidth="1"/>
    <col min="6" max="6" width="59.7109375" style="53" customWidth="1"/>
    <col min="7" max="7" width="9.7109375" style="53" customWidth="1"/>
    <col min="8" max="8" width="46.42578125" style="53" customWidth="1"/>
    <col min="9" max="9" width="68.42578125" style="53" customWidth="1"/>
    <col min="10" max="10" width="14.7109375" style="53" bestFit="1" customWidth="1"/>
    <col min="11" max="11" width="16.7109375" style="53" customWidth="1"/>
    <col min="12" max="12" width="19.28515625" style="53" customWidth="1"/>
    <col min="13" max="13" width="46.140625" style="53" customWidth="1"/>
    <col min="14" max="14" width="19.28515625" style="53" customWidth="1"/>
    <col min="15" max="15" width="45.28515625" style="53" customWidth="1"/>
    <col min="16" max="16" width="17.7109375" style="53" customWidth="1"/>
    <col min="17" max="17" width="32.42578125" style="53" customWidth="1"/>
    <col min="18" max="18" width="17.140625" style="53" customWidth="1"/>
    <col min="19" max="21" width="21.85546875" style="53" customWidth="1"/>
    <col min="22" max="22" width="15" style="53" customWidth="1"/>
    <col min="23" max="23" width="12.28515625" style="64" customWidth="1"/>
    <col min="24" max="24" width="13.7109375" style="53" customWidth="1"/>
    <col min="25" max="25" width="14.7109375" style="64" customWidth="1"/>
    <col min="26" max="26" width="16.85546875" style="53" bestFit="1" customWidth="1"/>
    <col min="27" max="27" width="7.85546875" style="53" customWidth="1"/>
    <col min="28" max="28" width="52.5703125" style="53" customWidth="1"/>
    <col min="29" max="29" width="114.5703125" style="53" customWidth="1"/>
    <col min="30" max="30" width="10" style="53" bestFit="1" customWidth="1"/>
    <col min="31" max="31" width="8.42578125" style="64" customWidth="1"/>
    <col min="32" max="32" width="20.28515625" style="64" customWidth="1"/>
    <col min="33" max="33" width="9" style="64" customWidth="1"/>
    <col min="34" max="34" width="14.140625" style="64" customWidth="1"/>
    <col min="35" max="35" width="16.42578125" style="53" customWidth="1"/>
    <col min="36" max="36" width="14.7109375" style="63" customWidth="1"/>
    <col min="37" max="37" width="36.5703125" style="53" customWidth="1"/>
    <col min="38" max="38" width="13.7109375" style="53" customWidth="1"/>
    <col min="39" max="39" width="13.7109375" style="65" customWidth="1"/>
    <col min="40" max="40" width="13.7109375" style="53" customWidth="1"/>
    <col min="41" max="41" width="15.28515625" style="53" customWidth="1"/>
    <col min="42" max="42" width="17.85546875" style="66" customWidth="1"/>
    <col min="43" max="43" width="49.28515625" style="66" customWidth="1"/>
    <col min="44" max="44" width="17" style="63" customWidth="1"/>
    <col min="45" max="46" width="11.5703125" style="82" customWidth="1"/>
    <col min="47" max="47" width="21.85546875" style="53" customWidth="1"/>
    <col min="48" max="57" width="18.140625" style="81" customWidth="1"/>
    <col min="58" max="216" width="11.42578125" style="81" customWidth="1"/>
    <col min="217" max="217" width="21.85546875" style="81" customWidth="1"/>
    <col min="218" max="218" width="13.85546875" style="81" customWidth="1"/>
    <col min="219" max="219" width="38.7109375" style="81" customWidth="1"/>
    <col min="220" max="220" width="3" style="81" bestFit="1" customWidth="1"/>
    <col min="221" max="221" width="32.28515625" style="81" customWidth="1"/>
    <col min="222" max="222" width="46.28515625" style="81" customWidth="1"/>
    <col min="223" max="223" width="19" style="81" customWidth="1"/>
    <col min="224" max="224" width="11.42578125" style="81" customWidth="1"/>
    <col min="225" max="225" width="17.7109375" style="81" customWidth="1"/>
    <col min="226" max="226" width="11.42578125" style="81" customWidth="1"/>
    <col min="227" max="227" width="22.28515625" style="81" customWidth="1"/>
    <col min="228" max="228" width="5.28515625" style="81" customWidth="1"/>
    <col min="229" max="229" width="36.28515625" style="81" customWidth="1"/>
    <col min="230" max="230" width="5.7109375" style="81" customWidth="1"/>
    <col min="231" max="231" width="11.42578125" style="81" customWidth="1"/>
    <col min="232" max="232" width="20.7109375" style="81" customWidth="1"/>
    <col min="233" max="233" width="4.85546875" style="81" customWidth="1"/>
    <col min="234" max="234" width="11.42578125" style="81" customWidth="1"/>
    <col min="235" max="235" width="24.7109375" style="81" customWidth="1"/>
    <col min="236" max="236" width="12.28515625" style="81" customWidth="1"/>
    <col min="237" max="237" width="11.42578125" style="81" customWidth="1"/>
    <col min="238" max="238" width="3.42578125" style="81" customWidth="1"/>
    <col min="239" max="239" width="11.42578125" style="81" customWidth="1"/>
    <col min="240" max="240" width="17.7109375" style="81" customWidth="1"/>
    <col min="241" max="241" width="3.42578125" style="81" customWidth="1"/>
    <col min="242" max="242" width="11.42578125" style="81" customWidth="1"/>
    <col min="243" max="243" width="23.7109375" style="81" customWidth="1"/>
    <col min="244" max="244" width="10" style="81" customWidth="1"/>
    <col min="245" max="245" width="11.42578125" style="81" customWidth="1"/>
    <col min="246" max="247" width="14.7109375" style="81" customWidth="1"/>
    <col min="248" max="248" width="12.85546875" style="81" customWidth="1"/>
    <col min="249" max="249" width="3.28515625" style="81" customWidth="1"/>
    <col min="250" max="250" width="30.28515625" style="81" customWidth="1"/>
    <col min="251" max="251" width="5" style="81" customWidth="1"/>
    <col min="252" max="252" width="11.42578125" style="81" customWidth="1"/>
    <col min="253" max="253" width="14.28515625" style="81" customWidth="1"/>
    <col min="254" max="254" width="5.7109375" style="81" customWidth="1"/>
    <col min="255" max="255" width="11.42578125" style="81" customWidth="1"/>
    <col min="256" max="16384" width="17.28515625" style="81"/>
  </cols>
  <sheetData>
    <row r="1" spans="1:59" ht="81"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81"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s="46" customFormat="1" ht="81" customHeight="1">
      <c r="A3" s="611" t="s">
        <v>199</v>
      </c>
      <c r="B3" s="611" t="s">
        <v>144</v>
      </c>
      <c r="C3" s="611" t="s">
        <v>6</v>
      </c>
      <c r="D3" s="611" t="s">
        <v>1</v>
      </c>
      <c r="E3" s="611" t="s">
        <v>2</v>
      </c>
      <c r="F3" s="611"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ht="81" customHeight="1">
      <c r="A4" s="1114" t="s">
        <v>51</v>
      </c>
      <c r="B4" s="1113" t="s">
        <v>94</v>
      </c>
      <c r="C4" s="1114" t="s">
        <v>58</v>
      </c>
      <c r="D4" s="1113" t="s">
        <v>79</v>
      </c>
      <c r="E4" s="1114" t="s">
        <v>80</v>
      </c>
      <c r="F4" s="1113" t="s">
        <v>959</v>
      </c>
      <c r="G4" s="1113" t="s">
        <v>348</v>
      </c>
      <c r="H4" s="1113" t="s">
        <v>960</v>
      </c>
      <c r="I4" s="1113" t="s">
        <v>961</v>
      </c>
      <c r="J4" s="1114" t="s">
        <v>89</v>
      </c>
      <c r="K4" s="1140">
        <v>0</v>
      </c>
      <c r="L4" s="926">
        <f>IF(J4="Diaria",+(K4/360),IF(J4="Semanal",+(K4/52),IF(J4="Mensual",+(K4/12),IF(J4="Bimestral",+(K4/6),IF(J4="Trimestral",+(K4/4),IF(J4="Semestral",+(K4/2),IF(J4="Anual",+(K4/1),"")))))))</f>
        <v>0</v>
      </c>
      <c r="M4" s="1113" t="s">
        <v>30</v>
      </c>
      <c r="N4" s="926">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0.2</v>
      </c>
      <c r="O4" s="1113" t="s">
        <v>48</v>
      </c>
      <c r="P4" s="926">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0.4</v>
      </c>
      <c r="Q4" s="1113" t="s">
        <v>73</v>
      </c>
      <c r="R4" s="926">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1113" t="s">
        <v>962</v>
      </c>
      <c r="T4" s="1113" t="s">
        <v>45</v>
      </c>
      <c r="U4" s="1120">
        <f>+MAX(N4,P4,R4)</f>
        <v>0.4</v>
      </c>
      <c r="V4" s="912" t="str">
        <f>IF(L4&lt;=20%,"Muy baja",IF(L4&lt;=40%,"Baja",IF(L4&lt;=60%,"Media",IF(L4&lt;=80%,"Alta",IF(L4&lt;=100%,"Muy alta",IF(L4&gt;=100%,"Muy alta",""))))))</f>
        <v>Muy baja</v>
      </c>
      <c r="W4" s="1120">
        <f>+IFERROR(VLOOKUP(V4,formulas!$F$1:$G$6,2,FALSE),"")</f>
        <v>0.2</v>
      </c>
      <c r="X4" s="911" t="str">
        <f>IF(U4=20%,"Leve",IF(U4=40%,"Menor",IF(U4=60%,"Moderado",IF(U4=80%,"Mayor",IF(U4=100%,"Catastrófico","")))))</f>
        <v>Menor</v>
      </c>
      <c r="Y4" s="1120">
        <f>+IFERROR(VLOOKUP(X4,formulas!$H$1:$I$6,2,FALSE),"")</f>
        <v>0.4</v>
      </c>
      <c r="Z4" s="911" t="str">
        <f>+IFERROR(VLOOKUP(V4&amp;X4,formulas!$C$2:$D$26,2,FALSE),"")</f>
        <v>Bajo</v>
      </c>
      <c r="AA4" s="1120">
        <f>IF(Z4="Bajo",25%,IF(Z4="Moderado",50%,IF(Z4="Alto",75%,IF(Z4="Extremo",100%,""))))</f>
        <v>0.25</v>
      </c>
      <c r="AB4" s="1113" t="s">
        <v>963</v>
      </c>
      <c r="AC4" s="708" t="s">
        <v>964</v>
      </c>
      <c r="AD4" s="707" t="s">
        <v>57</v>
      </c>
      <c r="AE4" s="656">
        <f t="shared" ref="AE4:AE29" si="0">IF(AD4="Preventivo",25%,IF(AD4="Detectivo",15%,IF(AD4="Correctivo",10%,"")))</f>
        <v>0.25</v>
      </c>
      <c r="AF4" s="707" t="s">
        <v>229</v>
      </c>
      <c r="AG4" s="656">
        <f>IF(AF4="Manual",15%,IF(AF4="Automático",25%,""))</f>
        <v>0.15</v>
      </c>
      <c r="AH4" s="656">
        <f>+AG4+AE4</f>
        <v>0.4</v>
      </c>
      <c r="AI4" s="707" t="s">
        <v>230</v>
      </c>
      <c r="AJ4" s="707" t="s">
        <v>24</v>
      </c>
      <c r="AK4" s="708" t="s">
        <v>364</v>
      </c>
      <c r="AL4" s="647">
        <f>+AA4*AH4</f>
        <v>0.1</v>
      </c>
      <c r="AM4" s="647">
        <f>+AA4-AL4</f>
        <v>0.15</v>
      </c>
      <c r="AN4" s="911" t="str">
        <f>+IF(C4="Corrupción","Moderado",IF(AM6&lt;=25%,"Bajo",IF(AM6&lt;=50%,"Moderado",IF(AM6&lt;=75%,"Alto",IF(AM6&gt;75%,"Extremo","")))))</f>
        <v>Moderado</v>
      </c>
      <c r="AO4" s="844" t="s">
        <v>59</v>
      </c>
      <c r="AP4" s="707">
        <v>1</v>
      </c>
      <c r="AQ4" s="708" t="s">
        <v>965</v>
      </c>
      <c r="AR4" s="708" t="s">
        <v>966</v>
      </c>
      <c r="AS4" s="59"/>
      <c r="AT4" s="176"/>
      <c r="AU4" s="613"/>
      <c r="AV4" s="613"/>
      <c r="AW4" s="613"/>
      <c r="AX4" s="613"/>
      <c r="AY4" s="613"/>
      <c r="AZ4" s="613"/>
      <c r="BA4" s="613"/>
      <c r="BB4" s="613"/>
      <c r="BC4" s="613"/>
      <c r="BD4" s="613"/>
      <c r="BE4" s="613"/>
      <c r="BF4" s="640"/>
      <c r="BG4" s="640"/>
    </row>
    <row r="5" spans="1:59" ht="81" customHeight="1">
      <c r="A5" s="1114"/>
      <c r="B5" s="1113"/>
      <c r="C5" s="1114"/>
      <c r="D5" s="1113"/>
      <c r="E5" s="1114"/>
      <c r="F5" s="1113"/>
      <c r="G5" s="1113"/>
      <c r="H5" s="1113"/>
      <c r="I5" s="1113"/>
      <c r="J5" s="1114"/>
      <c r="K5" s="1140"/>
      <c r="L5" s="926"/>
      <c r="M5" s="1113"/>
      <c r="N5" s="926" t="str">
        <f t="shared" ref="N5:N29" si="1">IF(M5="Menor al 1% del patrimonio de la Lotería de Bogotá",20%,IF(M5="Entre el 1% y el 3% del patrimonio de la Lotería de Bogotá",40%,IF(M5="Entre el 3% y el 6% del patrimonio de la Lotería de Bogotá",60%,IF(M5="Entre el 6% y el 10% del patrimonio de la Lotería de Bogotá",80%,IF(M5="Mayor al 10% del patrimonio de la Lotería de Bogotá",100%,IF(M5="NA",0%,""))))))</f>
        <v/>
      </c>
      <c r="O5" s="1113"/>
      <c r="P5" s="926" t="str">
        <f t="shared" ref="P5:P29" si="2">IF(O5="El riesgo afecta la imagen de algún área de la organización",20%,IF(O5="El riesgo afecta la imagen de la entidad internamente, de conocimiento general nivel interno, de junta directiva y accionistas y/o de proveedores",40%,IF(O5="El riesgo afecta la imagen de la entidad con algunos usuarios de relevancia frente al logro de los objetivos",60%,IF(O5="El riesgo afecta la imagen de la entidad con efecto publicitario sostenido a nivel de sector administrativo, nivel departamental o municipal",80%,IF(O5="El riesgo afecta la imagen de la entidad a nivel nacional, con efecto publicitario sostenido a nivel país",100%,IF(O5="NA",0%,""))))))</f>
        <v/>
      </c>
      <c r="Q5" s="1113"/>
      <c r="R5" s="926" t="str">
        <f t="shared" ref="R5:R29" si="3">IF(Q5="Interrupción de la operación por menos de un día",20%,IF(Q5="Interrupción de la operación por un día completo",40%,IF(Q5="Interrupción de la operación mayor a 1 día y menor a 2 días",60%,IF(Q5="Interrupción de la operación por dos días completos",80%,IF(Q5="Interrupción de la operación por más de dos días",100%,IF(Q5="NA",0%,""))))))</f>
        <v/>
      </c>
      <c r="S5" s="1113"/>
      <c r="T5" s="1113"/>
      <c r="U5" s="1120">
        <f t="shared" ref="U5:U29" si="4">+MAX(N5,P5,R5)</f>
        <v>0</v>
      </c>
      <c r="V5" s="915"/>
      <c r="W5" s="1120" t="str">
        <f>+IFERROR(VLOOKUP(V5,formulas!$F$1:$G$6,2,FALSE),"")</f>
        <v/>
      </c>
      <c r="X5" s="821"/>
      <c r="Y5" s="1120" t="str">
        <f>+IFERROR(VLOOKUP(X5,formulas!$H$1:$I$6,2,FALSE),"")</f>
        <v/>
      </c>
      <c r="Z5" s="821"/>
      <c r="AA5" s="1120" t="str">
        <f t="shared" ref="AA5:AA29" si="5">IF(Z5="Bajo",25%,IF(Z5="Moderado",50%,IF(Z5="Alto",75%,IF(Z5="Extremo",100%,""))))</f>
        <v/>
      </c>
      <c r="AB5" s="1113"/>
      <c r="AC5" s="708" t="s">
        <v>967</v>
      </c>
      <c r="AD5" s="707" t="s">
        <v>57</v>
      </c>
      <c r="AE5" s="656">
        <f t="shared" si="0"/>
        <v>0.25</v>
      </c>
      <c r="AF5" s="707" t="s">
        <v>229</v>
      </c>
      <c r="AG5" s="656">
        <f t="shared" ref="AG5:AG26" si="6">IF(AF5="Manual",15%,IF(AF5="Automático",25%,""))</f>
        <v>0.15</v>
      </c>
      <c r="AH5" s="656">
        <f t="shared" ref="AH5:AH26" si="7">+AG5+AE5</f>
        <v>0.4</v>
      </c>
      <c r="AI5" s="707" t="s">
        <v>230</v>
      </c>
      <c r="AJ5" s="707" t="s">
        <v>24</v>
      </c>
      <c r="AK5" s="708" t="s">
        <v>364</v>
      </c>
      <c r="AL5" s="647">
        <f>+AM4*AH5</f>
        <v>0.06</v>
      </c>
      <c r="AM5" s="647">
        <f>+AM4-AL5</f>
        <v>0.09</v>
      </c>
      <c r="AN5" s="821"/>
      <c r="AO5" s="844"/>
      <c r="AP5" s="707">
        <v>2</v>
      </c>
      <c r="AQ5" s="708" t="s">
        <v>968</v>
      </c>
      <c r="AR5" s="708" t="s">
        <v>966</v>
      </c>
      <c r="AS5" s="59"/>
      <c r="AT5" s="176"/>
      <c r="AU5" s="613"/>
      <c r="AV5" s="613"/>
      <c r="AW5" s="613"/>
      <c r="AX5" s="613"/>
      <c r="AY5" s="613"/>
      <c r="AZ5" s="613"/>
      <c r="BA5" s="613"/>
      <c r="BB5" s="613"/>
      <c r="BC5" s="613"/>
      <c r="BD5" s="613"/>
      <c r="BE5" s="613"/>
      <c r="BF5" s="640"/>
      <c r="BG5" s="640"/>
    </row>
    <row r="6" spans="1:59" ht="81" customHeight="1" thickBot="1">
      <c r="A6" s="1072"/>
      <c r="B6" s="1051"/>
      <c r="C6" s="1072"/>
      <c r="D6" s="1051"/>
      <c r="E6" s="1072"/>
      <c r="F6" s="1051"/>
      <c r="G6" s="1051"/>
      <c r="H6" s="1051"/>
      <c r="I6" s="1051"/>
      <c r="J6" s="1072"/>
      <c r="K6" s="1139"/>
      <c r="L6" s="927"/>
      <c r="M6" s="1051"/>
      <c r="N6" s="927" t="str">
        <f t="shared" si="1"/>
        <v/>
      </c>
      <c r="O6" s="1051"/>
      <c r="P6" s="927" t="str">
        <f t="shared" si="2"/>
        <v/>
      </c>
      <c r="Q6" s="1051"/>
      <c r="R6" s="927" t="str">
        <f t="shared" si="3"/>
        <v/>
      </c>
      <c r="S6" s="1051"/>
      <c r="T6" s="1051"/>
      <c r="U6" s="1121">
        <f t="shared" si="4"/>
        <v>0</v>
      </c>
      <c r="V6" s="1045"/>
      <c r="W6" s="1121" t="str">
        <f>+IFERROR(VLOOKUP(V6,formulas!$F$1:$G$6,2,FALSE),"")</f>
        <v/>
      </c>
      <c r="X6" s="822"/>
      <c r="Y6" s="1121" t="str">
        <f>+IFERROR(VLOOKUP(X6,formulas!$H$1:$I$6,2,FALSE),"")</f>
        <v/>
      </c>
      <c r="Z6" s="822"/>
      <c r="AA6" s="1121" t="str">
        <f t="shared" si="5"/>
        <v/>
      </c>
      <c r="AB6" s="1051"/>
      <c r="AC6" s="693" t="s">
        <v>969</v>
      </c>
      <c r="AD6" s="698" t="s">
        <v>57</v>
      </c>
      <c r="AE6" s="657">
        <f t="shared" si="0"/>
        <v>0.25</v>
      </c>
      <c r="AF6" s="698" t="s">
        <v>229</v>
      </c>
      <c r="AG6" s="657">
        <f t="shared" si="6"/>
        <v>0.15</v>
      </c>
      <c r="AH6" s="657">
        <f t="shared" si="7"/>
        <v>0.4</v>
      </c>
      <c r="AI6" s="698" t="s">
        <v>230</v>
      </c>
      <c r="AJ6" s="698" t="s">
        <v>24</v>
      </c>
      <c r="AK6" s="693" t="s">
        <v>970</v>
      </c>
      <c r="AL6" s="648">
        <f>+AM5*AH6</f>
        <v>3.5999999999999997E-2</v>
      </c>
      <c r="AM6" s="648">
        <f>+AM5-AL6</f>
        <v>5.3999999999999999E-2</v>
      </c>
      <c r="AN6" s="822"/>
      <c r="AO6" s="845"/>
      <c r="AP6" s="698">
        <v>3</v>
      </c>
      <c r="AQ6" s="693" t="s">
        <v>971</v>
      </c>
      <c r="AR6" s="693" t="s">
        <v>972</v>
      </c>
      <c r="AS6" s="110"/>
      <c r="AT6" s="177"/>
      <c r="AU6" s="177"/>
      <c r="AV6" s="638"/>
      <c r="AW6" s="638"/>
      <c r="AX6" s="638"/>
      <c r="AY6" s="638"/>
      <c r="AZ6" s="638"/>
      <c r="BA6" s="638"/>
      <c r="BB6" s="638"/>
      <c r="BC6" s="638"/>
      <c r="BD6" s="638"/>
      <c r="BE6" s="638"/>
      <c r="BF6" s="638"/>
      <c r="BG6" s="638"/>
    </row>
    <row r="7" spans="1:59" ht="81" customHeight="1">
      <c r="A7" s="1071" t="s">
        <v>51</v>
      </c>
      <c r="B7" s="1050" t="s">
        <v>94</v>
      </c>
      <c r="C7" s="1071" t="s">
        <v>58</v>
      </c>
      <c r="D7" s="1050" t="s">
        <v>79</v>
      </c>
      <c r="E7" s="1071" t="s">
        <v>80</v>
      </c>
      <c r="F7" s="1050" t="s">
        <v>973</v>
      </c>
      <c r="G7" s="1113" t="s">
        <v>389</v>
      </c>
      <c r="H7" s="1050" t="s">
        <v>974</v>
      </c>
      <c r="I7" s="1050" t="s">
        <v>975</v>
      </c>
      <c r="J7" s="1071" t="s">
        <v>99</v>
      </c>
      <c r="K7" s="1138">
        <v>0</v>
      </c>
      <c r="L7" s="953">
        <f>IF(J7="Diaria",+(K7/360),IF(J7="Semanal",+(K7/52),IF(J7="Mensual",+(K7/12),IF(J7="Bimestral",+(K7/6),IF(J7="Trimestral",+(K7/4),IF(J7="Semestral",+(K7/2),IF(J7="Anual",+(K7/1),"")))))))</f>
        <v>0</v>
      </c>
      <c r="M7" s="1050" t="s">
        <v>30</v>
      </c>
      <c r="N7" s="1126">
        <f t="shared" si="1"/>
        <v>0.2</v>
      </c>
      <c r="O7" s="1050" t="s">
        <v>48</v>
      </c>
      <c r="P7" s="1126">
        <f t="shared" si="2"/>
        <v>0.4</v>
      </c>
      <c r="Q7" s="1050" t="s">
        <v>73</v>
      </c>
      <c r="R7" s="1126">
        <f t="shared" si="3"/>
        <v>0</v>
      </c>
      <c r="S7" s="1071" t="s">
        <v>73</v>
      </c>
      <c r="T7" s="1071" t="s">
        <v>45</v>
      </c>
      <c r="U7" s="1109">
        <f t="shared" si="4"/>
        <v>0.4</v>
      </c>
      <c r="V7" s="912" t="str">
        <f>IF(L7&lt;=20%,"Muy baja",IF(L7&lt;=40%,"Baja",IF(L7&lt;=60%,"Media",IF(L7&lt;=80%,"Alta",IF(L7&lt;=100%,"Muy alta",IF(L7&gt;=100%,"Muy alta",""))))))</f>
        <v>Muy baja</v>
      </c>
      <c r="W7" s="1109">
        <f>+IFERROR(VLOOKUP(V7,formulas!$F$1:$G$6,2,FALSE),"")</f>
        <v>0.2</v>
      </c>
      <c r="X7" s="820" t="str">
        <f>IF(U7=20%,"Leve",IF(U7=40%,"Menor",IF(U7=60%,"Moderado",IF(U7=80%,"Mayor",IF(U7=100%,"Catastrófico","")))))</f>
        <v>Menor</v>
      </c>
      <c r="Y7" s="1109">
        <f>+IFERROR(VLOOKUP(X7,formulas!$H$1:$I$6,2,FALSE),"")</f>
        <v>0.4</v>
      </c>
      <c r="Z7" s="820" t="str">
        <f>+IFERROR(VLOOKUP(V7&amp;X7,formulas!$C$2:$D$26,2,FALSE),"")</f>
        <v>Bajo</v>
      </c>
      <c r="AA7" s="1109">
        <f t="shared" si="5"/>
        <v>0.25</v>
      </c>
      <c r="AB7" s="1050" t="s">
        <v>976</v>
      </c>
      <c r="AC7" s="1050" t="s">
        <v>977</v>
      </c>
      <c r="AD7" s="1071" t="s">
        <v>57</v>
      </c>
      <c r="AE7" s="953">
        <f t="shared" si="0"/>
        <v>0.25</v>
      </c>
      <c r="AF7" s="1071" t="s">
        <v>229</v>
      </c>
      <c r="AG7" s="953">
        <f t="shared" si="6"/>
        <v>0.15</v>
      </c>
      <c r="AH7" s="953">
        <f t="shared" si="7"/>
        <v>0.4</v>
      </c>
      <c r="AI7" s="1071" t="s">
        <v>230</v>
      </c>
      <c r="AJ7" s="1071" t="s">
        <v>24</v>
      </c>
      <c r="AK7" s="1050" t="s">
        <v>355</v>
      </c>
      <c r="AL7" s="1047">
        <f>+AA7*AH7</f>
        <v>0.1</v>
      </c>
      <c r="AM7" s="1047">
        <f>+AA7-AL7</f>
        <v>0.15</v>
      </c>
      <c r="AN7" s="820" t="str">
        <f>+IF(C7="Corrupción","Moderado",IF(AM7&lt;=25%,"Bajo",IF(AM7&lt;=50%,"Moderado",IF(AM7&lt;=75%,"Alto",IF(AM7&gt;75%,"Extremo","")))))</f>
        <v>Moderado</v>
      </c>
      <c r="AO7" s="843" t="s">
        <v>59</v>
      </c>
      <c r="AP7" s="1071">
        <v>1</v>
      </c>
      <c r="AQ7" s="1050" t="s">
        <v>978</v>
      </c>
      <c r="AR7" s="1050" t="s">
        <v>972</v>
      </c>
      <c r="AS7" s="276"/>
      <c r="AT7" s="327"/>
      <c r="AU7" s="626"/>
      <c r="AV7" s="637"/>
      <c r="AW7" s="637"/>
      <c r="AX7" s="637"/>
      <c r="AY7" s="637"/>
      <c r="AZ7" s="637"/>
      <c r="BA7" s="637"/>
      <c r="BB7" s="637"/>
      <c r="BC7" s="637"/>
      <c r="BD7" s="637"/>
      <c r="BE7" s="637"/>
      <c r="BF7" s="637"/>
      <c r="BG7" s="637"/>
    </row>
    <row r="8" spans="1:59" ht="137.25" customHeight="1" thickBot="1">
      <c r="A8" s="1072"/>
      <c r="B8" s="1051"/>
      <c r="C8" s="1072"/>
      <c r="D8" s="1051"/>
      <c r="E8" s="1072"/>
      <c r="F8" s="1051"/>
      <c r="G8" s="1113"/>
      <c r="H8" s="1051"/>
      <c r="I8" s="1051"/>
      <c r="J8" s="1072"/>
      <c r="K8" s="1139"/>
      <c r="L8" s="927"/>
      <c r="M8" s="1051"/>
      <c r="N8" s="1127" t="str">
        <f t="shared" si="1"/>
        <v/>
      </c>
      <c r="O8" s="1051"/>
      <c r="P8" s="1127" t="str">
        <f t="shared" si="2"/>
        <v/>
      </c>
      <c r="Q8" s="1051"/>
      <c r="R8" s="1127" t="str">
        <f t="shared" si="3"/>
        <v/>
      </c>
      <c r="S8" s="1072"/>
      <c r="T8" s="1072"/>
      <c r="U8" s="1110">
        <f t="shared" si="4"/>
        <v>0</v>
      </c>
      <c r="V8" s="1045"/>
      <c r="W8" s="1110" t="str">
        <f>+IFERROR(VLOOKUP(V8,formulas!$F$1:$G$6,2,FALSE),"")</f>
        <v/>
      </c>
      <c r="X8" s="822"/>
      <c r="Y8" s="1110" t="str">
        <f>+IFERROR(VLOOKUP(X8,formulas!$H$1:$I$6,2,FALSE),"")</f>
        <v/>
      </c>
      <c r="Z8" s="822"/>
      <c r="AA8" s="1110" t="str">
        <f t="shared" si="5"/>
        <v/>
      </c>
      <c r="AB8" s="1051"/>
      <c r="AC8" s="1051"/>
      <c r="AD8" s="1072"/>
      <c r="AE8" s="927"/>
      <c r="AF8" s="1072"/>
      <c r="AG8" s="927"/>
      <c r="AH8" s="927"/>
      <c r="AI8" s="1072"/>
      <c r="AJ8" s="1072"/>
      <c r="AK8" s="1051"/>
      <c r="AL8" s="886"/>
      <c r="AM8" s="886"/>
      <c r="AN8" s="822"/>
      <c r="AO8" s="845"/>
      <c r="AP8" s="1072"/>
      <c r="AQ8" s="1051"/>
      <c r="AR8" s="1051"/>
      <c r="AS8" s="329"/>
      <c r="AT8" s="329"/>
      <c r="AU8" s="110"/>
      <c r="AV8" s="110"/>
      <c r="AW8" s="110"/>
      <c r="AX8" s="110"/>
      <c r="AY8" s="110"/>
      <c r="AZ8" s="110"/>
      <c r="BA8" s="110"/>
      <c r="BB8" s="110"/>
      <c r="BC8" s="110"/>
      <c r="BD8" s="110"/>
      <c r="BE8" s="110"/>
      <c r="BF8" s="110"/>
      <c r="BG8" s="110"/>
    </row>
    <row r="9" spans="1:59" ht="81" customHeight="1">
      <c r="A9" s="988" t="s">
        <v>51</v>
      </c>
      <c r="B9" s="1101" t="s">
        <v>94</v>
      </c>
      <c r="C9" s="1101" t="s">
        <v>58</v>
      </c>
      <c r="D9" s="1101" t="s">
        <v>79</v>
      </c>
      <c r="E9" s="1101" t="s">
        <v>979</v>
      </c>
      <c r="F9" s="1103" t="s">
        <v>980</v>
      </c>
      <c r="G9" s="1103" t="s">
        <v>408</v>
      </c>
      <c r="H9" s="1101" t="s">
        <v>981</v>
      </c>
      <c r="I9" s="1103" t="s">
        <v>982</v>
      </c>
      <c r="J9" s="1101" t="s">
        <v>66</v>
      </c>
      <c r="K9" s="1101">
        <v>0</v>
      </c>
      <c r="L9" s="953">
        <f>IF(J9="Diaria",+(K9/360),IF(J9="Semanal",+(K9/52),IF(J9="Mensual",+(K9/12),IF(J9="Bimestral",+(K9/6),IF(J9="Trimestral",+(K9/4),IF(J9="Semestral",+(K9/2),IF(J9="Anual",+(K9/1),"")))))))</f>
        <v>0</v>
      </c>
      <c r="M9" s="1101" t="s">
        <v>30</v>
      </c>
      <c r="N9" s="1126">
        <f t="shared" si="1"/>
        <v>0.2</v>
      </c>
      <c r="O9" s="1101" t="s">
        <v>48</v>
      </c>
      <c r="P9" s="1126">
        <f t="shared" si="2"/>
        <v>0.4</v>
      </c>
      <c r="Q9" s="1101" t="s">
        <v>73</v>
      </c>
      <c r="R9" s="1126">
        <f t="shared" si="3"/>
        <v>0</v>
      </c>
      <c r="S9" s="1101" t="s">
        <v>516</v>
      </c>
      <c r="T9" s="1101" t="s">
        <v>53</v>
      </c>
      <c r="U9" s="1122">
        <f t="shared" si="4"/>
        <v>0.4</v>
      </c>
      <c r="V9" s="912" t="str">
        <f>IF(L9&lt;=20%,"Muy baja",IF(L9&lt;=40%,"Baja",IF(L9&lt;=60%,"Media",IF(L9&lt;=80%,"Alta",IF(L9&lt;=100%,"Muy alta",IF(L9&gt;=100%,"Muy alta",""))))))</f>
        <v>Muy baja</v>
      </c>
      <c r="W9" s="1122">
        <f>+IFERROR(VLOOKUP(V9,formulas!$F$1:$G$6,2,FALSE),"")</f>
        <v>0.2</v>
      </c>
      <c r="X9" s="820" t="str">
        <f>IF(U9=20%,"Leve",IF(U9=40%,"Menor",IF(U9=60%,"Moderado",IF(U9=80%,"Mayor",IF(U9=100%,"Catastrófico","")))))</f>
        <v>Menor</v>
      </c>
      <c r="Y9" s="1122">
        <f>+IFERROR(VLOOKUP(X9,formulas!$H$1:$I$6,2,FALSE),"")</f>
        <v>0.4</v>
      </c>
      <c r="Z9" s="820" t="str">
        <f>+IFERROR(VLOOKUP(V9&amp;X9,formulas!$C$2:$D$26,2,FALSE),"")</f>
        <v>Bajo</v>
      </c>
      <c r="AA9" s="1122">
        <f t="shared" si="5"/>
        <v>0.25</v>
      </c>
      <c r="AB9" s="1050" t="s">
        <v>983</v>
      </c>
      <c r="AC9" s="1115" t="s">
        <v>984</v>
      </c>
      <c r="AD9" s="697" t="s">
        <v>57</v>
      </c>
      <c r="AE9" s="667">
        <f t="shared" si="0"/>
        <v>0.25</v>
      </c>
      <c r="AF9" s="697" t="s">
        <v>229</v>
      </c>
      <c r="AG9" s="667">
        <f t="shared" si="6"/>
        <v>0.15</v>
      </c>
      <c r="AH9" s="667">
        <f t="shared" si="7"/>
        <v>0.4</v>
      </c>
      <c r="AI9" s="697" t="s">
        <v>230</v>
      </c>
      <c r="AJ9" s="697" t="s">
        <v>24</v>
      </c>
      <c r="AK9" s="692" t="s">
        <v>985</v>
      </c>
      <c r="AL9" s="690">
        <f>+AA9*AH9</f>
        <v>0.1</v>
      </c>
      <c r="AM9" s="690">
        <f>+AA9-AL9</f>
        <v>0.15</v>
      </c>
      <c r="AN9" s="820" t="str">
        <f>+IF(C9="Corrupción","Moderado",IF(AM10&lt;=25%,"Bajo",IF(AM10&lt;=50%,"Moderado",IF(AM10&lt;=75%,"Alto",IF(AM10&gt;75%,"Extremo","")))))</f>
        <v>Moderado</v>
      </c>
      <c r="AO9" s="843" t="s">
        <v>59</v>
      </c>
      <c r="AP9" s="697">
        <v>1</v>
      </c>
      <c r="AQ9" s="692" t="s">
        <v>986</v>
      </c>
      <c r="AR9" s="692" t="s">
        <v>987</v>
      </c>
      <c r="AS9" s="330"/>
      <c r="AT9" s="330"/>
      <c r="AU9" s="276"/>
      <c r="AV9" s="276"/>
      <c r="AW9" s="276"/>
      <c r="AX9" s="276"/>
      <c r="AY9" s="276"/>
      <c r="AZ9" s="276"/>
      <c r="BA9" s="276"/>
      <c r="BB9" s="276"/>
      <c r="BC9" s="276"/>
      <c r="BD9" s="276"/>
      <c r="BE9" s="276"/>
      <c r="BF9" s="276"/>
      <c r="BG9" s="276"/>
    </row>
    <row r="10" spans="1:59" ht="81" customHeight="1" thickBot="1">
      <c r="A10" s="963"/>
      <c r="B10" s="1102"/>
      <c r="C10" s="1102"/>
      <c r="D10" s="1102"/>
      <c r="E10" s="1102"/>
      <c r="F10" s="1104"/>
      <c r="G10" s="1104"/>
      <c r="H10" s="1102"/>
      <c r="I10" s="1104"/>
      <c r="J10" s="1102"/>
      <c r="K10" s="1102"/>
      <c r="L10" s="927"/>
      <c r="M10" s="1102"/>
      <c r="N10" s="1072" t="str">
        <f t="shared" si="1"/>
        <v/>
      </c>
      <c r="O10" s="1102"/>
      <c r="P10" s="1072" t="str">
        <f t="shared" si="2"/>
        <v/>
      </c>
      <c r="Q10" s="1102"/>
      <c r="R10" s="1072" t="str">
        <f t="shared" si="3"/>
        <v/>
      </c>
      <c r="S10" s="1102"/>
      <c r="T10" s="1102"/>
      <c r="U10" s="1123">
        <f t="shared" si="4"/>
        <v>0</v>
      </c>
      <c r="V10" s="1045"/>
      <c r="W10" s="1123" t="str">
        <f>+IFERROR(VLOOKUP(V10,formulas!$F$1:$G$6,2,FALSE),"")</f>
        <v/>
      </c>
      <c r="X10" s="822"/>
      <c r="Y10" s="1123" t="str">
        <f>+IFERROR(VLOOKUP(X10,formulas!$H$1:$I$6,2,FALSE),"")</f>
        <v/>
      </c>
      <c r="Z10" s="822"/>
      <c r="AA10" s="1123" t="str">
        <f t="shared" si="5"/>
        <v/>
      </c>
      <c r="AB10" s="1051"/>
      <c r="AC10" s="1141" t="s">
        <v>988</v>
      </c>
      <c r="AD10" s="698" t="s">
        <v>57</v>
      </c>
      <c r="AE10" s="657">
        <f t="shared" si="0"/>
        <v>0.25</v>
      </c>
      <c r="AF10" s="698" t="s">
        <v>229</v>
      </c>
      <c r="AG10" s="657">
        <f t="shared" si="6"/>
        <v>0.15</v>
      </c>
      <c r="AH10" s="657">
        <f t="shared" si="7"/>
        <v>0.4</v>
      </c>
      <c r="AI10" s="698" t="s">
        <v>230</v>
      </c>
      <c r="AJ10" s="698" t="s">
        <v>989</v>
      </c>
      <c r="AK10" s="693" t="s">
        <v>985</v>
      </c>
      <c r="AL10" s="648">
        <f>+AM9*AH10</f>
        <v>0.06</v>
      </c>
      <c r="AM10" s="648">
        <f>+AM9-AL10</f>
        <v>0.09</v>
      </c>
      <c r="AN10" s="822"/>
      <c r="AO10" s="845"/>
      <c r="AP10" s="698">
        <v>2</v>
      </c>
      <c r="AQ10" s="693" t="s">
        <v>990</v>
      </c>
      <c r="AR10" s="693" t="s">
        <v>987</v>
      </c>
      <c r="AS10" s="329"/>
      <c r="AT10" s="329"/>
      <c r="AU10" s="110"/>
      <c r="AV10" s="110"/>
      <c r="AW10" s="110"/>
      <c r="AX10" s="110"/>
      <c r="AY10" s="110"/>
      <c r="AZ10" s="110"/>
      <c r="BA10" s="110"/>
      <c r="BB10" s="110"/>
      <c r="BC10" s="110"/>
      <c r="BD10" s="110"/>
      <c r="BE10" s="110"/>
      <c r="BF10" s="110"/>
      <c r="BG10" s="110"/>
    </row>
    <row r="11" spans="1:59" ht="81" customHeight="1">
      <c r="A11" s="988" t="s">
        <v>51</v>
      </c>
      <c r="B11" s="1101" t="s">
        <v>94</v>
      </c>
      <c r="C11" s="1101" t="s">
        <v>991</v>
      </c>
      <c r="D11" s="1101" t="s">
        <v>79</v>
      </c>
      <c r="E11" s="1101" t="s">
        <v>992</v>
      </c>
      <c r="F11" s="1103" t="s">
        <v>993</v>
      </c>
      <c r="G11" s="1103" t="s">
        <v>994</v>
      </c>
      <c r="H11" s="1101" t="s">
        <v>995</v>
      </c>
      <c r="I11" s="1103" t="s">
        <v>996</v>
      </c>
      <c r="J11" s="1101" t="s">
        <v>89</v>
      </c>
      <c r="K11" s="1101">
        <v>0</v>
      </c>
      <c r="L11" s="953">
        <f>IF(J11="Diaria",+(K11/360),IF(J11="Semanal",+(K11/52),IF(J11="Mensual",+(K11/12),IF(J11="Bimestral",+(K11/6),IF(J11="Trimestral",+(K11/4),IF(J11="Semestral",+(K11/2),IF(J11="Anual",+(K11/1),"")))))))</f>
        <v>0</v>
      </c>
      <c r="M11" s="1101" t="s">
        <v>30</v>
      </c>
      <c r="N11" s="1126">
        <f t="shared" si="1"/>
        <v>0.2</v>
      </c>
      <c r="O11" s="1101" t="s">
        <v>31</v>
      </c>
      <c r="P11" s="1126">
        <f t="shared" si="2"/>
        <v>0.2</v>
      </c>
      <c r="Q11" s="1101" t="s">
        <v>73</v>
      </c>
      <c r="R11" s="1126">
        <f t="shared" si="3"/>
        <v>0</v>
      </c>
      <c r="S11" s="1101" t="s">
        <v>516</v>
      </c>
      <c r="T11" s="1101" t="s">
        <v>53</v>
      </c>
      <c r="U11" s="1122">
        <f t="shared" si="4"/>
        <v>0.2</v>
      </c>
      <c r="V11" s="912" t="str">
        <f>IF(L11&lt;=20%,"Muy baja",IF(L11&lt;=40%,"Baja",IF(L11&lt;=60%,"Media",IF(L11&lt;=80%,"Alta",IF(L11&lt;=100%,"Muy alta",IF(L11&gt;=100%,"Muy alta",""))))))</f>
        <v>Muy baja</v>
      </c>
      <c r="W11" s="1122">
        <f>+IFERROR(VLOOKUP(V11,formulas!$F$1:$G$6,2,FALSE),"")</f>
        <v>0.2</v>
      </c>
      <c r="X11" s="820" t="str">
        <f>IF(U11=20%,"Leve",IF(U11=40%,"Menor",IF(U11=60%,"Moderado",IF(U11=80%,"Mayor",IF(U11=100%,"Catastrófico","")))))</f>
        <v>Leve</v>
      </c>
      <c r="Y11" s="1122">
        <f>+IFERROR(VLOOKUP(X11,formulas!$H$1:$I$6,2,FALSE),"")</f>
        <v>0.2</v>
      </c>
      <c r="Z11" s="820" t="str">
        <f>+IFERROR(VLOOKUP(V11&amp;X11,formulas!$C$2:$D$26,2,FALSE),"")</f>
        <v>Bajo</v>
      </c>
      <c r="AA11" s="1122">
        <f t="shared" si="5"/>
        <v>0.25</v>
      </c>
      <c r="AB11" s="1050" t="s">
        <v>997</v>
      </c>
      <c r="AC11" s="709" t="s">
        <v>998</v>
      </c>
      <c r="AD11" s="697" t="s">
        <v>57</v>
      </c>
      <c r="AE11" s="667">
        <f t="shared" si="0"/>
        <v>0.25</v>
      </c>
      <c r="AF11" s="697" t="s">
        <v>229</v>
      </c>
      <c r="AG11" s="667">
        <f t="shared" si="6"/>
        <v>0.15</v>
      </c>
      <c r="AH11" s="667">
        <f t="shared" si="7"/>
        <v>0.4</v>
      </c>
      <c r="AI11" s="697" t="s">
        <v>230</v>
      </c>
      <c r="AJ11" s="692" t="s">
        <v>41</v>
      </c>
      <c r="AK11" s="697" t="s">
        <v>516</v>
      </c>
      <c r="AL11" s="690">
        <f>+AA11*AH11</f>
        <v>0.1</v>
      </c>
      <c r="AM11" s="690">
        <f>+AA11-AL11</f>
        <v>0.15</v>
      </c>
      <c r="AN11" s="820" t="str">
        <f>+IF(C11="Corrupción","Moderado",IF(AM12&lt;=25%,"Bajo",IF(AM12&lt;=50%,"Moderado",IF(AM12&lt;=75%,"Alto",IF(AM12&gt;75%,"Extremo","")))))</f>
        <v>Bajo</v>
      </c>
      <c r="AO11" s="843" t="s">
        <v>59</v>
      </c>
      <c r="AP11" s="697">
        <v>1</v>
      </c>
      <c r="AQ11" s="692" t="s">
        <v>999</v>
      </c>
      <c r="AR11" s="692" t="s">
        <v>1000</v>
      </c>
      <c r="AS11" s="330"/>
      <c r="AT11" s="330"/>
      <c r="AU11" s="276"/>
      <c r="AV11" s="276"/>
      <c r="AW11" s="276"/>
      <c r="AX11" s="276"/>
      <c r="AY11" s="276"/>
      <c r="AZ11" s="276"/>
      <c r="BA11" s="276"/>
      <c r="BB11" s="276"/>
      <c r="BC11" s="276"/>
      <c r="BD11" s="276"/>
      <c r="BE11" s="276"/>
      <c r="BF11" s="276"/>
      <c r="BG11" s="276"/>
    </row>
    <row r="12" spans="1:59" ht="81" customHeight="1" thickBot="1">
      <c r="A12" s="963"/>
      <c r="B12" s="1102"/>
      <c r="C12" s="1102"/>
      <c r="D12" s="1102"/>
      <c r="E12" s="1102"/>
      <c r="F12" s="1104"/>
      <c r="G12" s="1104"/>
      <c r="H12" s="1102"/>
      <c r="I12" s="1104"/>
      <c r="J12" s="1102"/>
      <c r="K12" s="1102"/>
      <c r="L12" s="927"/>
      <c r="M12" s="1102"/>
      <c r="N12" s="1072" t="str">
        <f t="shared" si="1"/>
        <v/>
      </c>
      <c r="O12" s="1102"/>
      <c r="P12" s="1072" t="str">
        <f t="shared" si="2"/>
        <v/>
      </c>
      <c r="Q12" s="1102"/>
      <c r="R12" s="1072" t="str">
        <f t="shared" si="3"/>
        <v/>
      </c>
      <c r="S12" s="1102"/>
      <c r="T12" s="1102"/>
      <c r="U12" s="1123">
        <f t="shared" si="4"/>
        <v>0</v>
      </c>
      <c r="V12" s="1045"/>
      <c r="W12" s="1123" t="str">
        <f>+IFERROR(VLOOKUP(V12,formulas!$F$1:$G$6,2,FALSE),"")</f>
        <v/>
      </c>
      <c r="X12" s="822"/>
      <c r="Y12" s="1123" t="str">
        <f>+IFERROR(VLOOKUP(X12,formulas!$H$1:$I$6,2,FALSE),"")</f>
        <v/>
      </c>
      <c r="Z12" s="822"/>
      <c r="AA12" s="1123" t="str">
        <f t="shared" si="5"/>
        <v/>
      </c>
      <c r="AB12" s="1051"/>
      <c r="AC12" s="599" t="s">
        <v>1001</v>
      </c>
      <c r="AD12" s="698" t="s">
        <v>57</v>
      </c>
      <c r="AE12" s="657">
        <f t="shared" si="0"/>
        <v>0.25</v>
      </c>
      <c r="AF12" s="698" t="s">
        <v>229</v>
      </c>
      <c r="AG12" s="657">
        <f t="shared" si="6"/>
        <v>0.15</v>
      </c>
      <c r="AH12" s="657">
        <f t="shared" si="7"/>
        <v>0.4</v>
      </c>
      <c r="AI12" s="698" t="s">
        <v>230</v>
      </c>
      <c r="AJ12" s="693" t="s">
        <v>24</v>
      </c>
      <c r="AK12" s="693" t="s">
        <v>364</v>
      </c>
      <c r="AL12" s="648">
        <f>+AM11*AH12</f>
        <v>0.06</v>
      </c>
      <c r="AM12" s="648">
        <f>+AM11-AL12</f>
        <v>0.09</v>
      </c>
      <c r="AN12" s="822"/>
      <c r="AO12" s="845"/>
      <c r="AP12" s="698">
        <v>2</v>
      </c>
      <c r="AQ12" s="693" t="s">
        <v>1002</v>
      </c>
      <c r="AR12" s="693" t="s">
        <v>966</v>
      </c>
      <c r="AS12" s="329"/>
      <c r="AT12" s="329"/>
      <c r="AU12" s="110"/>
      <c r="AV12" s="110"/>
      <c r="AW12" s="110"/>
      <c r="AX12" s="110"/>
      <c r="AY12" s="110"/>
      <c r="AZ12" s="110"/>
      <c r="BA12" s="110"/>
      <c r="BB12" s="110"/>
      <c r="BC12" s="110"/>
      <c r="BD12" s="110"/>
      <c r="BE12" s="110"/>
      <c r="BF12" s="110"/>
      <c r="BG12" s="110"/>
    </row>
    <row r="13" spans="1:59" ht="81" customHeight="1">
      <c r="A13" s="988" t="s">
        <v>51</v>
      </c>
      <c r="B13" s="1101" t="s">
        <v>1003</v>
      </c>
      <c r="C13" s="1101" t="s">
        <v>58</v>
      </c>
      <c r="D13" s="1101" t="s">
        <v>79</v>
      </c>
      <c r="E13" s="1101" t="s">
        <v>80</v>
      </c>
      <c r="F13" s="1103" t="s">
        <v>388</v>
      </c>
      <c r="G13" s="1103" t="s">
        <v>389</v>
      </c>
      <c r="H13" s="1101" t="s">
        <v>390</v>
      </c>
      <c r="I13" s="1103" t="s">
        <v>391</v>
      </c>
      <c r="J13" s="1101" t="s">
        <v>66</v>
      </c>
      <c r="K13" s="1101">
        <v>2</v>
      </c>
      <c r="L13" s="953">
        <f>IF(J13="Diaria",+(K13/360),IF(J13="Semanal",+(K13/52),IF(J13="Mensual",+(K13/12),IF(J13="Bimestral",+(K13/6),IF(J13="Trimestral",+(K13/4),IF(J13="Semestral",+(K13/2),IF(J13="Anual",+(K13/1),"")))))))</f>
        <v>0.16666666666666666</v>
      </c>
      <c r="M13" s="1101" t="s">
        <v>30</v>
      </c>
      <c r="N13" s="953">
        <f t="shared" si="1"/>
        <v>0.2</v>
      </c>
      <c r="O13" s="1101" t="s">
        <v>31</v>
      </c>
      <c r="P13" s="953">
        <f t="shared" si="2"/>
        <v>0.2</v>
      </c>
      <c r="Q13" s="1101" t="s">
        <v>32</v>
      </c>
      <c r="R13" s="953">
        <f t="shared" si="3"/>
        <v>0.2</v>
      </c>
      <c r="S13" s="1101" t="s">
        <v>516</v>
      </c>
      <c r="T13" s="1101" t="s">
        <v>1004</v>
      </c>
      <c r="U13" s="1122">
        <f t="shared" si="4"/>
        <v>0.2</v>
      </c>
      <c r="V13" s="912" t="str">
        <f>IF(L13&lt;=20%,"Muy baja",IF(L13&lt;=40%,"Baja",IF(L13&lt;=60%,"Media",IF(L13&lt;=80%,"Alta",IF(L13&lt;=100%,"Muy alta",IF(L13&gt;=100%,"Muy alta",""))))))</f>
        <v>Muy baja</v>
      </c>
      <c r="W13" s="1122">
        <f>+IFERROR(VLOOKUP(V13,formulas!$F$1:$G$6,2,FALSE),"")</f>
        <v>0.2</v>
      </c>
      <c r="X13" s="820" t="str">
        <f>IF(U13=20%,"Leve",IF(U13=40%,"Menor",IF(U13=60%,"Moderado",IF(U13=80%,"Mayor",IF(U13=100%,"Catastrófico","")))))</f>
        <v>Leve</v>
      </c>
      <c r="Y13" s="1122">
        <f>+IFERROR(VLOOKUP(X13,formulas!$H$1:$I$6,2,FALSE),"")</f>
        <v>0.2</v>
      </c>
      <c r="Z13" s="820" t="str">
        <f>+IFERROR(VLOOKUP(V13&amp;X13,formulas!$C$2:$D$26,2,FALSE),"")</f>
        <v>Bajo</v>
      </c>
      <c r="AA13" s="1122">
        <f t="shared" si="5"/>
        <v>0.25</v>
      </c>
      <c r="AB13" s="1050" t="s">
        <v>392</v>
      </c>
      <c r="AC13" s="692" t="s">
        <v>1005</v>
      </c>
      <c r="AD13" s="697" t="s">
        <v>57</v>
      </c>
      <c r="AE13" s="667">
        <f t="shared" si="0"/>
        <v>0.25</v>
      </c>
      <c r="AF13" s="697" t="s">
        <v>229</v>
      </c>
      <c r="AG13" s="667">
        <f t="shared" si="6"/>
        <v>0.15</v>
      </c>
      <c r="AH13" s="667">
        <f t="shared" si="7"/>
        <v>0.4</v>
      </c>
      <c r="AI13" s="697" t="s">
        <v>230</v>
      </c>
      <c r="AJ13" s="692" t="s">
        <v>24</v>
      </c>
      <c r="AK13" s="692" t="s">
        <v>396</v>
      </c>
      <c r="AL13" s="690">
        <f>+AA13*AH13</f>
        <v>0.1</v>
      </c>
      <c r="AM13" s="690">
        <f>+AA13-AL13</f>
        <v>0.15</v>
      </c>
      <c r="AN13" s="820" t="str">
        <f>+IF(C13="Corrupción","Moderado",IF(AM15&lt;=25%,"Bajo",IF(AM15&lt;=50%,"Moderado",IF(AM15&lt;=75%,"Alto",IF(AM15&gt;75%,"Extremo","")))))</f>
        <v>Moderado</v>
      </c>
      <c r="AO13" s="843" t="s">
        <v>59</v>
      </c>
      <c r="AP13" s="697">
        <v>1</v>
      </c>
      <c r="AQ13" s="692" t="s">
        <v>399</v>
      </c>
      <c r="AR13" s="692" t="s">
        <v>281</v>
      </c>
      <c r="AS13" s="330"/>
      <c r="AT13" s="330"/>
      <c r="AU13" s="276"/>
      <c r="AV13" s="276"/>
      <c r="AW13" s="276"/>
      <c r="AX13" s="276"/>
      <c r="AY13" s="276"/>
      <c r="AZ13" s="276"/>
      <c r="BA13" s="276"/>
      <c r="BB13" s="276"/>
      <c r="BC13" s="276"/>
      <c r="BD13" s="276"/>
      <c r="BE13" s="276"/>
      <c r="BF13" s="276"/>
      <c r="BG13" s="276"/>
    </row>
    <row r="14" spans="1:59" ht="81" customHeight="1">
      <c r="A14" s="962"/>
      <c r="B14" s="1125"/>
      <c r="C14" s="1125"/>
      <c r="D14" s="1125"/>
      <c r="E14" s="1125"/>
      <c r="F14" s="1130"/>
      <c r="G14" s="1130"/>
      <c r="H14" s="1125"/>
      <c r="I14" s="1130"/>
      <c r="J14" s="1125"/>
      <c r="K14" s="1125"/>
      <c r="L14" s="926"/>
      <c r="M14" s="1125"/>
      <c r="N14" s="926" t="str">
        <f t="shared" si="1"/>
        <v/>
      </c>
      <c r="O14" s="1125"/>
      <c r="P14" s="926" t="str">
        <f t="shared" si="2"/>
        <v/>
      </c>
      <c r="Q14" s="1125"/>
      <c r="R14" s="926" t="str">
        <f t="shared" si="3"/>
        <v/>
      </c>
      <c r="S14" s="1125"/>
      <c r="T14" s="1125"/>
      <c r="U14" s="1124">
        <f t="shared" si="4"/>
        <v>0</v>
      </c>
      <c r="V14" s="915"/>
      <c r="W14" s="1124" t="str">
        <f>+IFERROR(VLOOKUP(V14,formulas!$F$1:$G$6,2,FALSE),"")</f>
        <v/>
      </c>
      <c r="X14" s="821"/>
      <c r="Y14" s="1124" t="str">
        <f>+IFERROR(VLOOKUP(X14,formulas!$H$1:$I$6,2,FALSE),"")</f>
        <v/>
      </c>
      <c r="Z14" s="821"/>
      <c r="AA14" s="1124" t="str">
        <f t="shared" si="5"/>
        <v/>
      </c>
      <c r="AB14" s="1113"/>
      <c r="AC14" s="708" t="s">
        <v>1006</v>
      </c>
      <c r="AD14" s="707" t="s">
        <v>57</v>
      </c>
      <c r="AE14" s="656">
        <f t="shared" si="0"/>
        <v>0.25</v>
      </c>
      <c r="AF14" s="707" t="s">
        <v>229</v>
      </c>
      <c r="AG14" s="656">
        <f t="shared" si="6"/>
        <v>0.15</v>
      </c>
      <c r="AH14" s="656">
        <f t="shared" si="7"/>
        <v>0.4</v>
      </c>
      <c r="AI14" s="707" t="s">
        <v>230</v>
      </c>
      <c r="AJ14" s="708" t="s">
        <v>24</v>
      </c>
      <c r="AK14" s="708" t="s">
        <v>403</v>
      </c>
      <c r="AL14" s="647">
        <f>+AM13*AH14</f>
        <v>0.06</v>
      </c>
      <c r="AM14" s="647">
        <f>+AM13-AL14</f>
        <v>0.09</v>
      </c>
      <c r="AN14" s="821"/>
      <c r="AO14" s="844"/>
      <c r="AP14" s="707">
        <v>2</v>
      </c>
      <c r="AQ14" s="708" t="s">
        <v>405</v>
      </c>
      <c r="AR14" s="708" t="s">
        <v>281</v>
      </c>
      <c r="AS14" s="331"/>
      <c r="AT14" s="331"/>
      <c r="AU14" s="59"/>
      <c r="AV14" s="59"/>
      <c r="AW14" s="59"/>
      <c r="AX14" s="59"/>
      <c r="AY14" s="59"/>
      <c r="AZ14" s="59"/>
      <c r="BA14" s="59"/>
      <c r="BB14" s="59"/>
      <c r="BC14" s="59"/>
      <c r="BD14" s="59"/>
      <c r="BE14" s="59"/>
      <c r="BF14" s="59"/>
      <c r="BG14" s="59"/>
    </row>
    <row r="15" spans="1:59" ht="81" customHeight="1" thickBot="1">
      <c r="A15" s="963"/>
      <c r="B15" s="1102"/>
      <c r="C15" s="1102"/>
      <c r="D15" s="1102"/>
      <c r="E15" s="1102"/>
      <c r="F15" s="1104"/>
      <c r="G15" s="1104"/>
      <c r="H15" s="1102"/>
      <c r="I15" s="1104"/>
      <c r="J15" s="1102"/>
      <c r="K15" s="1102"/>
      <c r="L15" s="927"/>
      <c r="M15" s="1102"/>
      <c r="N15" s="927" t="str">
        <f t="shared" si="1"/>
        <v/>
      </c>
      <c r="O15" s="1102"/>
      <c r="P15" s="927" t="str">
        <f t="shared" si="2"/>
        <v/>
      </c>
      <c r="Q15" s="1102"/>
      <c r="R15" s="927" t="str">
        <f t="shared" si="3"/>
        <v/>
      </c>
      <c r="S15" s="1102"/>
      <c r="T15" s="1102"/>
      <c r="U15" s="1123">
        <f t="shared" si="4"/>
        <v>0</v>
      </c>
      <c r="V15" s="1045"/>
      <c r="W15" s="1123" t="str">
        <f>+IFERROR(VLOOKUP(V15,formulas!$F$1:$G$6,2,FALSE),"")</f>
        <v/>
      </c>
      <c r="X15" s="822"/>
      <c r="Y15" s="1123" t="str">
        <f>+IFERROR(VLOOKUP(X15,formulas!$H$1:$I$6,2,FALSE),"")</f>
        <v/>
      </c>
      <c r="Z15" s="822"/>
      <c r="AA15" s="1123" t="str">
        <f t="shared" si="5"/>
        <v/>
      </c>
      <c r="AB15" s="1051"/>
      <c r="AC15" s="693" t="s">
        <v>1007</v>
      </c>
      <c r="AD15" s="698" t="s">
        <v>57</v>
      </c>
      <c r="AE15" s="657">
        <f t="shared" si="0"/>
        <v>0.25</v>
      </c>
      <c r="AF15" s="698" t="s">
        <v>229</v>
      </c>
      <c r="AG15" s="657">
        <f t="shared" si="6"/>
        <v>0.15</v>
      </c>
      <c r="AH15" s="657">
        <f t="shared" si="7"/>
        <v>0.4</v>
      </c>
      <c r="AI15" s="698" t="s">
        <v>230</v>
      </c>
      <c r="AJ15" s="693" t="s">
        <v>24</v>
      </c>
      <c r="AK15" s="693" t="s">
        <v>403</v>
      </c>
      <c r="AL15" s="648">
        <f>+AM14*AH15</f>
        <v>3.5999999999999997E-2</v>
      </c>
      <c r="AM15" s="648">
        <f>+AM14-AL15</f>
        <v>5.3999999999999999E-2</v>
      </c>
      <c r="AN15" s="822"/>
      <c r="AO15" s="845"/>
      <c r="AP15" s="698">
        <v>3</v>
      </c>
      <c r="AQ15" s="698"/>
      <c r="AR15" s="693" t="s">
        <v>281</v>
      </c>
      <c r="AS15" s="329"/>
      <c r="AT15" s="329"/>
      <c r="AU15" s="110"/>
      <c r="AV15" s="110"/>
      <c r="AW15" s="110"/>
      <c r="AX15" s="110"/>
      <c r="AY15" s="110"/>
      <c r="AZ15" s="110"/>
      <c r="BA15" s="110"/>
      <c r="BB15" s="110"/>
      <c r="BC15" s="110"/>
      <c r="BD15" s="110"/>
      <c r="BE15" s="110"/>
      <c r="BF15" s="110"/>
      <c r="BG15" s="110"/>
    </row>
    <row r="16" spans="1:59" ht="81" customHeight="1">
      <c r="A16" s="988" t="s">
        <v>231</v>
      </c>
      <c r="B16" s="1101" t="s">
        <v>94</v>
      </c>
      <c r="C16" s="1101" t="s">
        <v>92</v>
      </c>
      <c r="D16" s="1101" t="s">
        <v>79</v>
      </c>
      <c r="E16" s="1101" t="s">
        <v>36</v>
      </c>
      <c r="F16" s="1101" t="s">
        <v>519</v>
      </c>
      <c r="G16" s="1101" t="s">
        <v>520</v>
      </c>
      <c r="H16" s="1101" t="s">
        <v>521</v>
      </c>
      <c r="I16" s="1101" t="s">
        <v>522</v>
      </c>
      <c r="J16" s="1101" t="s">
        <v>66</v>
      </c>
      <c r="K16" s="1071">
        <v>1</v>
      </c>
      <c r="L16" s="953">
        <f>IF(J16="Diaria",+(K16/360),IF(J16="Semanal",+(K16/52),IF(J16="Mensual",+(K16/12),IF(J16="Bimestral",+(K16/6),IF(J16="Trimestral",+(K16/4),IF(J16="Semestral",+(K16/2),IF(J16="Anual",+(K16/1),"")))))))</f>
        <v>8.3333333333333329E-2</v>
      </c>
      <c r="M16" s="1101" t="s">
        <v>30</v>
      </c>
      <c r="N16" s="1126">
        <f t="shared" si="1"/>
        <v>0.2</v>
      </c>
      <c r="O16" s="1101" t="s">
        <v>64</v>
      </c>
      <c r="P16" s="1126">
        <f t="shared" si="2"/>
        <v>0.6</v>
      </c>
      <c r="Q16" s="1101" t="s">
        <v>32</v>
      </c>
      <c r="R16" s="1126">
        <f t="shared" si="3"/>
        <v>0.2</v>
      </c>
      <c r="S16" s="1071" t="s">
        <v>516</v>
      </c>
      <c r="T16" s="1071" t="s">
        <v>1004</v>
      </c>
      <c r="U16" s="1109">
        <f t="shared" si="4"/>
        <v>0.6</v>
      </c>
      <c r="V16" s="912" t="str">
        <f>IF(L16&lt;=20%,"Muy baja",IF(L16&lt;=40%,"Baja",IF(L16&lt;=60%,"Media",IF(L16&lt;=80%,"Alta",IF(L16&lt;=100%,"Muy alta",IF(L16&gt;=100%,"Muy alta",""))))))</f>
        <v>Muy baja</v>
      </c>
      <c r="W16" s="1109">
        <f>+IFERROR(VLOOKUP(V16,formulas!$F$1:$G$6,2,FALSE),"")</f>
        <v>0.2</v>
      </c>
      <c r="X16" s="820" t="str">
        <f>IF(U16=20%,"Leve",IF(U16=40%,"Menor",IF(U16=60%,"Moderado",IF(U16=80%,"Mayor",IF(U16=100%,"Catastrófico","")))))</f>
        <v>Moderado</v>
      </c>
      <c r="Y16" s="1109">
        <f>+IFERROR(VLOOKUP(X16,formulas!$H$1:$I$6,2,FALSE),"")</f>
        <v>0.6</v>
      </c>
      <c r="Z16" s="820" t="str">
        <f>+IFERROR(VLOOKUP(V16&amp;X16,formulas!$C$2:$D$26,2,FALSE),"")</f>
        <v>Moderado</v>
      </c>
      <c r="AA16" s="1109">
        <f t="shared" si="5"/>
        <v>0.5</v>
      </c>
      <c r="AB16" s="1050" t="s">
        <v>523</v>
      </c>
      <c r="AC16" s="1050" t="s">
        <v>1008</v>
      </c>
      <c r="AD16" s="1071" t="s">
        <v>57</v>
      </c>
      <c r="AE16" s="953">
        <f t="shared" si="0"/>
        <v>0.25</v>
      </c>
      <c r="AF16" s="1071" t="s">
        <v>229</v>
      </c>
      <c r="AG16" s="953">
        <f t="shared" si="6"/>
        <v>0.15</v>
      </c>
      <c r="AH16" s="953">
        <f t="shared" si="7"/>
        <v>0.4</v>
      </c>
      <c r="AI16" s="1071" t="s">
        <v>230</v>
      </c>
      <c r="AJ16" s="1050" t="s">
        <v>24</v>
      </c>
      <c r="AK16" s="1050" t="s">
        <v>639</v>
      </c>
      <c r="AL16" s="1047">
        <f>+AA16*AH16</f>
        <v>0.2</v>
      </c>
      <c r="AM16" s="1047">
        <f>+AA16-AL16</f>
        <v>0.3</v>
      </c>
      <c r="AN16" s="820" t="str">
        <f>+IF(C16="Corrupción","Moderado",IF(AM16&lt;=25%,"Bajo",IF(AM16&lt;=50%,"Moderado",IF(AM16&lt;=75%,"Alto",IF(AM16&gt;75%,"Extremo","")))))</f>
        <v>Moderado</v>
      </c>
      <c r="AO16" s="843" t="s">
        <v>59</v>
      </c>
      <c r="AP16" s="1071">
        <v>1</v>
      </c>
      <c r="AQ16" s="1050" t="s">
        <v>525</v>
      </c>
      <c r="AR16" s="1050" t="s">
        <v>1009</v>
      </c>
      <c r="AS16" s="330"/>
      <c r="AT16" s="330"/>
      <c r="AU16" s="276"/>
      <c r="AV16" s="276"/>
      <c r="AW16" s="276"/>
      <c r="AX16" s="276"/>
      <c r="AY16" s="276"/>
      <c r="AZ16" s="276"/>
      <c r="BA16" s="276"/>
      <c r="BB16" s="276"/>
      <c r="BC16" s="276"/>
      <c r="BD16" s="276"/>
      <c r="BE16" s="276"/>
      <c r="BF16" s="276"/>
      <c r="BG16" s="276"/>
    </row>
    <row r="17" spans="1:59" ht="81" customHeight="1" thickBot="1">
      <c r="A17" s="963"/>
      <c r="B17" s="1102"/>
      <c r="C17" s="1102"/>
      <c r="D17" s="1102"/>
      <c r="E17" s="1102"/>
      <c r="F17" s="1102"/>
      <c r="G17" s="1102"/>
      <c r="H17" s="1102"/>
      <c r="I17" s="1102"/>
      <c r="J17" s="1102"/>
      <c r="K17" s="1072"/>
      <c r="L17" s="927"/>
      <c r="M17" s="1102"/>
      <c r="N17" s="1127" t="str">
        <f t="shared" si="1"/>
        <v/>
      </c>
      <c r="O17" s="1102"/>
      <c r="P17" s="1127" t="str">
        <f t="shared" si="2"/>
        <v/>
      </c>
      <c r="Q17" s="1102"/>
      <c r="R17" s="1127" t="str">
        <f t="shared" si="3"/>
        <v/>
      </c>
      <c r="S17" s="1072"/>
      <c r="T17" s="1072"/>
      <c r="U17" s="1110">
        <f t="shared" si="4"/>
        <v>0</v>
      </c>
      <c r="V17" s="1045"/>
      <c r="W17" s="1110" t="str">
        <f>+IFERROR(VLOOKUP(V17,formulas!$F$1:$G$6,2,FALSE),"")</f>
        <v/>
      </c>
      <c r="X17" s="822"/>
      <c r="Y17" s="1110" t="str">
        <f>+IFERROR(VLOOKUP(X17,formulas!$H$1:$I$6,2,FALSE),"")</f>
        <v/>
      </c>
      <c r="Z17" s="822"/>
      <c r="AA17" s="1110" t="str">
        <f t="shared" si="5"/>
        <v/>
      </c>
      <c r="AB17" s="1051"/>
      <c r="AC17" s="1051"/>
      <c r="AD17" s="1072"/>
      <c r="AE17" s="927"/>
      <c r="AF17" s="1072"/>
      <c r="AG17" s="927"/>
      <c r="AH17" s="927"/>
      <c r="AI17" s="1072"/>
      <c r="AJ17" s="1051"/>
      <c r="AK17" s="1051"/>
      <c r="AL17" s="886"/>
      <c r="AM17" s="886"/>
      <c r="AN17" s="822"/>
      <c r="AO17" s="845"/>
      <c r="AP17" s="1072"/>
      <c r="AQ17" s="1051"/>
      <c r="AR17" s="1051"/>
      <c r="AS17" s="329"/>
      <c r="AT17" s="329"/>
      <c r="AU17" s="110"/>
      <c r="AV17" s="110"/>
      <c r="AW17" s="110"/>
      <c r="AX17" s="110"/>
      <c r="AY17" s="110"/>
      <c r="AZ17" s="110"/>
      <c r="BA17" s="110"/>
      <c r="BB17" s="110"/>
      <c r="BC17" s="110"/>
      <c r="BD17" s="110"/>
      <c r="BE17" s="110"/>
      <c r="BF17" s="110"/>
      <c r="BG17" s="110"/>
    </row>
    <row r="18" spans="1:59" ht="81" customHeight="1">
      <c r="A18" s="988" t="s">
        <v>51</v>
      </c>
      <c r="B18" s="1101" t="s">
        <v>1003</v>
      </c>
      <c r="C18" s="1101" t="s">
        <v>109</v>
      </c>
      <c r="D18" s="1101" t="s">
        <v>582</v>
      </c>
      <c r="E18" s="1101" t="s">
        <v>91</v>
      </c>
      <c r="F18" s="1101" t="s">
        <v>1010</v>
      </c>
      <c r="G18" s="1101" t="s">
        <v>1011</v>
      </c>
      <c r="H18" s="1135" t="s">
        <v>1012</v>
      </c>
      <c r="I18" s="1101" t="s">
        <v>1013</v>
      </c>
      <c r="J18" s="1101" t="s">
        <v>33</v>
      </c>
      <c r="K18" s="1071">
        <v>0</v>
      </c>
      <c r="L18" s="953">
        <f>IF(J18="Diaria",+(K18/360),IF(J18="Semanal",+(K18/52),IF(J18="Mensual",+(K18/12),IF(J18="Bimestral",+(K18/6),IF(J18="Trimestral",+(K18/4),IF(J18="Semestral",+(K18/2),IF(J18="Anual",+(K18/1),"")))))))</f>
        <v>0</v>
      </c>
      <c r="M18" s="1101" t="s">
        <v>73</v>
      </c>
      <c r="N18" s="953">
        <f t="shared" si="1"/>
        <v>0</v>
      </c>
      <c r="O18" s="1101" t="s">
        <v>64</v>
      </c>
      <c r="P18" s="953">
        <f t="shared" si="2"/>
        <v>0.6</v>
      </c>
      <c r="Q18" s="1101" t="s">
        <v>32</v>
      </c>
      <c r="R18" s="953">
        <f t="shared" si="3"/>
        <v>0.2</v>
      </c>
      <c r="S18" s="1071" t="s">
        <v>1014</v>
      </c>
      <c r="T18" s="1071" t="s">
        <v>1015</v>
      </c>
      <c r="U18" s="1109">
        <f t="shared" si="4"/>
        <v>0.6</v>
      </c>
      <c r="V18" s="912" t="str">
        <f>IF(L18&lt;=20%,"Muy baja",IF(L18&lt;=40%,"Baja",IF(L18&lt;=60%,"Media",IF(L18&lt;=80%,"Alta",IF(L18&lt;=100%,"Muy alta",IF(L18&gt;=100%,"Muy alta",""))))))</f>
        <v>Muy baja</v>
      </c>
      <c r="W18" s="1109">
        <f>+IFERROR(VLOOKUP(V18,formulas!$F$1:$G$6,2,FALSE),"")</f>
        <v>0.2</v>
      </c>
      <c r="X18" s="820" t="str">
        <f>IF(U18=20%,"Leve",IF(U18=40%,"Menor",IF(U18=60%,"Moderado",IF(U18=80%,"Mayor",IF(U18=100%,"Catastrófico","")))))</f>
        <v>Moderado</v>
      </c>
      <c r="Y18" s="1109">
        <f>+IFERROR(VLOOKUP(X18,formulas!$H$1:$I$6,2,FALSE),"")</f>
        <v>0.6</v>
      </c>
      <c r="Z18" s="820" t="str">
        <f>+IFERROR(VLOOKUP(V18&amp;X18,formulas!$C$2:$D$26,2,FALSE),"")</f>
        <v>Moderado</v>
      </c>
      <c r="AA18" s="1109">
        <f t="shared" si="5"/>
        <v>0.5</v>
      </c>
      <c r="AB18" s="1050" t="s">
        <v>1016</v>
      </c>
      <c r="AC18" s="1050" t="s">
        <v>1017</v>
      </c>
      <c r="AD18" s="1071" t="s">
        <v>57</v>
      </c>
      <c r="AE18" s="953">
        <f t="shared" si="0"/>
        <v>0.25</v>
      </c>
      <c r="AF18" s="1071" t="s">
        <v>229</v>
      </c>
      <c r="AG18" s="953">
        <f t="shared" si="6"/>
        <v>0.15</v>
      </c>
      <c r="AH18" s="953">
        <f t="shared" si="7"/>
        <v>0.4</v>
      </c>
      <c r="AI18" s="1071" t="s">
        <v>230</v>
      </c>
      <c r="AJ18" s="1050" t="s">
        <v>41</v>
      </c>
      <c r="AK18" s="1050" t="s">
        <v>516</v>
      </c>
      <c r="AL18" s="1047">
        <f>+AA18*AH18</f>
        <v>0.2</v>
      </c>
      <c r="AM18" s="1047">
        <f>+AA18-AL18</f>
        <v>0.3</v>
      </c>
      <c r="AN18" s="820" t="str">
        <f>+IF(C18="Corrupción","Moderado",IF(AM20&lt;=25%,"Bajo",IF(AM20&lt;=50%,"Moderado",IF(AM20&lt;=75%,"Alto",IF(AM20&gt;75%,"Extremo","")))))</f>
        <v>Bajo</v>
      </c>
      <c r="AO18" s="843" t="s">
        <v>59</v>
      </c>
      <c r="AP18" s="1071">
        <v>1</v>
      </c>
      <c r="AQ18" s="1113" t="s">
        <v>1018</v>
      </c>
      <c r="AR18" s="1050" t="s">
        <v>1019</v>
      </c>
      <c r="AS18" s="330"/>
      <c r="AT18" s="330"/>
      <c r="AU18" s="276"/>
      <c r="AV18" s="276"/>
      <c r="AW18" s="276"/>
      <c r="AX18" s="276"/>
      <c r="AY18" s="276"/>
      <c r="AZ18" s="276"/>
      <c r="BA18" s="276"/>
      <c r="BB18" s="276"/>
      <c r="BC18" s="276"/>
      <c r="BD18" s="276"/>
      <c r="BE18" s="276"/>
      <c r="BF18" s="276"/>
      <c r="BG18" s="276"/>
    </row>
    <row r="19" spans="1:59" ht="81" customHeight="1" thickBot="1">
      <c r="A19" s="962"/>
      <c r="B19" s="1125"/>
      <c r="C19" s="1125"/>
      <c r="D19" s="1125"/>
      <c r="E19" s="1125"/>
      <c r="F19" s="1125"/>
      <c r="G19" s="1125"/>
      <c r="H19" s="1136"/>
      <c r="I19" s="1125"/>
      <c r="J19" s="1125"/>
      <c r="K19" s="1114"/>
      <c r="L19" s="926"/>
      <c r="M19" s="1125"/>
      <c r="N19" s="926"/>
      <c r="O19" s="1125"/>
      <c r="P19" s="926" t="str">
        <f t="shared" si="2"/>
        <v/>
      </c>
      <c r="Q19" s="1125"/>
      <c r="R19" s="926" t="str">
        <f t="shared" si="3"/>
        <v/>
      </c>
      <c r="S19" s="1114"/>
      <c r="T19" s="1114"/>
      <c r="U19" s="1119">
        <f t="shared" si="4"/>
        <v>0</v>
      </c>
      <c r="V19" s="915"/>
      <c r="W19" s="1119" t="str">
        <f>+IFERROR(VLOOKUP(V19,formulas!$F$1:$G$6,2,FALSE),"")</f>
        <v/>
      </c>
      <c r="X19" s="821"/>
      <c r="Y19" s="1119" t="str">
        <f>+IFERROR(VLOOKUP(X19,formulas!$H$1:$I$6,2,FALSE),"")</f>
        <v/>
      </c>
      <c r="Z19" s="821"/>
      <c r="AA19" s="1119" t="str">
        <f t="shared" si="5"/>
        <v/>
      </c>
      <c r="AB19" s="1113"/>
      <c r="AC19" s="1113"/>
      <c r="AD19" s="1114"/>
      <c r="AE19" s="926"/>
      <c r="AF19" s="1114"/>
      <c r="AG19" s="926"/>
      <c r="AH19" s="926"/>
      <c r="AI19" s="1114"/>
      <c r="AJ19" s="1113"/>
      <c r="AK19" s="1113"/>
      <c r="AL19" s="885"/>
      <c r="AM19" s="885"/>
      <c r="AN19" s="821"/>
      <c r="AO19" s="844"/>
      <c r="AP19" s="1114"/>
      <c r="AQ19" s="1051"/>
      <c r="AR19" s="1113"/>
      <c r="AS19" s="331"/>
      <c r="AT19" s="331"/>
      <c r="AU19" s="59"/>
      <c r="AV19" s="59"/>
      <c r="AW19" s="59"/>
      <c r="AX19" s="59"/>
      <c r="AY19" s="59"/>
      <c r="AZ19" s="59"/>
      <c r="BA19" s="59"/>
      <c r="BB19" s="59"/>
      <c r="BC19" s="59"/>
      <c r="BD19" s="59"/>
      <c r="BE19" s="59"/>
      <c r="BF19" s="59"/>
      <c r="BG19" s="59"/>
    </row>
    <row r="20" spans="1:59" ht="81" customHeight="1">
      <c r="A20" s="962"/>
      <c r="B20" s="1125"/>
      <c r="C20" s="1125"/>
      <c r="D20" s="1125"/>
      <c r="E20" s="1125"/>
      <c r="F20" s="1125"/>
      <c r="G20" s="1125"/>
      <c r="H20" s="1136"/>
      <c r="I20" s="1125"/>
      <c r="J20" s="1125"/>
      <c r="K20" s="1114"/>
      <c r="L20" s="926"/>
      <c r="M20" s="1125"/>
      <c r="N20" s="926"/>
      <c r="O20" s="1125"/>
      <c r="P20" s="926" t="str">
        <f t="shared" si="2"/>
        <v/>
      </c>
      <c r="Q20" s="1125"/>
      <c r="R20" s="926" t="str">
        <f t="shared" si="3"/>
        <v/>
      </c>
      <c r="S20" s="1114"/>
      <c r="T20" s="1114"/>
      <c r="U20" s="1119">
        <f t="shared" si="4"/>
        <v>0</v>
      </c>
      <c r="V20" s="915"/>
      <c r="W20" s="1119" t="str">
        <f>+IFERROR(VLOOKUP(V20,formulas!$F$1:$G$6,2,FALSE),"")</f>
        <v/>
      </c>
      <c r="X20" s="821"/>
      <c r="Y20" s="1119" t="str">
        <f>+IFERROR(VLOOKUP(X20,formulas!$H$1:$I$6,2,FALSE),"")</f>
        <v/>
      </c>
      <c r="Z20" s="821"/>
      <c r="AA20" s="1119" t="str">
        <f t="shared" si="5"/>
        <v/>
      </c>
      <c r="AB20" s="1113"/>
      <c r="AC20" s="1117" t="s">
        <v>1020</v>
      </c>
      <c r="AD20" s="1114" t="s">
        <v>57</v>
      </c>
      <c r="AE20" s="926">
        <f t="shared" si="0"/>
        <v>0.25</v>
      </c>
      <c r="AF20" s="1114" t="s">
        <v>229</v>
      </c>
      <c r="AG20" s="926">
        <f t="shared" si="6"/>
        <v>0.15</v>
      </c>
      <c r="AH20" s="926">
        <f t="shared" si="7"/>
        <v>0.4</v>
      </c>
      <c r="AI20" s="1114" t="s">
        <v>230</v>
      </c>
      <c r="AJ20" s="1114" t="s">
        <v>24</v>
      </c>
      <c r="AK20" s="1113" t="s">
        <v>1021</v>
      </c>
      <c r="AL20" s="885">
        <f>+AM18*AH20</f>
        <v>0.12</v>
      </c>
      <c r="AM20" s="885">
        <f>+AM18-AL20</f>
        <v>0.18</v>
      </c>
      <c r="AN20" s="821"/>
      <c r="AO20" s="844"/>
      <c r="AP20" s="1114">
        <v>2</v>
      </c>
      <c r="AQ20" s="1113"/>
      <c r="AR20" s="1114" t="s">
        <v>281</v>
      </c>
      <c r="AS20" s="331"/>
      <c r="AT20" s="331"/>
      <c r="AU20" s="59"/>
      <c r="AV20" s="59"/>
      <c r="AW20" s="59"/>
      <c r="AX20" s="59"/>
      <c r="AY20" s="59"/>
      <c r="AZ20" s="59"/>
      <c r="BA20" s="59"/>
      <c r="BB20" s="59"/>
      <c r="BC20" s="59"/>
      <c r="BD20" s="59"/>
      <c r="BE20" s="59"/>
      <c r="BF20" s="59"/>
      <c r="BG20" s="59"/>
    </row>
    <row r="21" spans="1:59" ht="81" customHeight="1" thickBot="1">
      <c r="A21" s="963"/>
      <c r="B21" s="1102"/>
      <c r="C21" s="1102"/>
      <c r="D21" s="1102"/>
      <c r="E21" s="1102"/>
      <c r="F21" s="1102"/>
      <c r="G21" s="1102"/>
      <c r="H21" s="1137"/>
      <c r="I21" s="1102"/>
      <c r="J21" s="1102"/>
      <c r="K21" s="1072"/>
      <c r="L21" s="927"/>
      <c r="M21" s="1102"/>
      <c r="N21" s="927"/>
      <c r="O21" s="1102"/>
      <c r="P21" s="927" t="str">
        <f t="shared" si="2"/>
        <v/>
      </c>
      <c r="Q21" s="1102"/>
      <c r="R21" s="927" t="str">
        <f t="shared" si="3"/>
        <v/>
      </c>
      <c r="S21" s="1072"/>
      <c r="T21" s="1072"/>
      <c r="U21" s="1110">
        <f t="shared" si="4"/>
        <v>0</v>
      </c>
      <c r="V21" s="1045"/>
      <c r="W21" s="1110" t="str">
        <f>+IFERROR(VLOOKUP(V21,formulas!$F$1:$G$6,2,FALSE),"")</f>
        <v/>
      </c>
      <c r="X21" s="822"/>
      <c r="Y21" s="1110" t="str">
        <f>+IFERROR(VLOOKUP(X21,formulas!$H$1:$I$6,2,FALSE),"")</f>
        <v/>
      </c>
      <c r="Z21" s="822"/>
      <c r="AA21" s="1110" t="str">
        <f t="shared" si="5"/>
        <v/>
      </c>
      <c r="AB21" s="1051"/>
      <c r="AC21" s="1118"/>
      <c r="AD21" s="1072"/>
      <c r="AE21" s="927"/>
      <c r="AF21" s="1072"/>
      <c r="AG21" s="927"/>
      <c r="AH21" s="927"/>
      <c r="AI21" s="1072"/>
      <c r="AJ21" s="1072"/>
      <c r="AK21" s="1072"/>
      <c r="AL21" s="886"/>
      <c r="AM21" s="886"/>
      <c r="AN21" s="822"/>
      <c r="AO21" s="845"/>
      <c r="AP21" s="1072"/>
      <c r="AQ21" s="1051"/>
      <c r="AR21" s="1072"/>
      <c r="AS21" s="329"/>
      <c r="AT21" s="329"/>
      <c r="AU21" s="110"/>
      <c r="AV21" s="110"/>
      <c r="AW21" s="110"/>
      <c r="AX21" s="110"/>
      <c r="AY21" s="110"/>
      <c r="AZ21" s="110"/>
      <c r="BA21" s="110"/>
      <c r="BB21" s="110"/>
      <c r="BC21" s="110"/>
      <c r="BD21" s="110"/>
      <c r="BE21" s="110"/>
      <c r="BF21" s="110"/>
      <c r="BG21" s="110"/>
    </row>
    <row r="22" spans="1:59" ht="81" customHeight="1">
      <c r="A22" s="988" t="s">
        <v>51</v>
      </c>
      <c r="B22" s="1101" t="s">
        <v>1022</v>
      </c>
      <c r="C22" s="1101" t="s">
        <v>152</v>
      </c>
      <c r="D22" s="1101" t="s">
        <v>582</v>
      </c>
      <c r="E22" s="1101" t="s">
        <v>36</v>
      </c>
      <c r="F22" s="1101" t="s">
        <v>1023</v>
      </c>
      <c r="G22" s="1101" t="s">
        <v>887</v>
      </c>
      <c r="H22" s="1101" t="s">
        <v>888</v>
      </c>
      <c r="I22" s="1101" t="s">
        <v>889</v>
      </c>
      <c r="J22" s="1101" t="s">
        <v>66</v>
      </c>
      <c r="K22" s="1126">
        <v>0.08</v>
      </c>
      <c r="L22" s="953">
        <f>IF(J22="Diaria",+(K22/360),IF(J22="Semanal",+(K22/52),IF(J22="Mensual",+(K22/12),IF(J22="Bimestral",+(K22/6),IF(J22="Trimestral",+(K22/4),IF(J22="Semestral",+(K22/2),IF(J22="Anual",+(K22/1),"")))))))</f>
        <v>6.6666666666666671E-3</v>
      </c>
      <c r="M22" s="1101" t="s">
        <v>30</v>
      </c>
      <c r="N22" s="1126">
        <f t="shared" si="1"/>
        <v>0.2</v>
      </c>
      <c r="O22" s="1101" t="s">
        <v>64</v>
      </c>
      <c r="P22" s="1126">
        <f t="shared" si="2"/>
        <v>0.6</v>
      </c>
      <c r="Q22" s="1101" t="s">
        <v>32</v>
      </c>
      <c r="R22" s="1126">
        <f t="shared" si="3"/>
        <v>0.2</v>
      </c>
      <c r="S22" s="1071" t="s">
        <v>1014</v>
      </c>
      <c r="T22" s="1071" t="s">
        <v>1015</v>
      </c>
      <c r="U22" s="1109">
        <f t="shared" si="4"/>
        <v>0.6</v>
      </c>
      <c r="V22" s="912" t="str">
        <f>IF(L22&lt;=20%,"Muy baja",IF(L22&lt;=40%,"Baja",IF(L22&lt;=60%,"Media",IF(L22&lt;=80%,"Alta",IF(L22&lt;=100%,"Muy alta",IF(L22&gt;=100%,"Muy alta",""))))))</f>
        <v>Muy baja</v>
      </c>
      <c r="W22" s="1109">
        <f>+IFERROR(VLOOKUP(V22,formulas!$F$1:$G$6,2,FALSE),"")</f>
        <v>0.2</v>
      </c>
      <c r="X22" s="820" t="str">
        <f>IF(U22=20%,"Leve",IF(U22=40%,"Menor",IF(U22=60%,"Moderado",IF(U22=80%,"Mayor",IF(U22=100%,"Catastrófico","")))))</f>
        <v>Moderado</v>
      </c>
      <c r="Y22" s="1109">
        <f>+IFERROR(VLOOKUP(X22,formulas!$H$1:$I$6,2,FALSE),"")</f>
        <v>0.6</v>
      </c>
      <c r="Z22" s="820" t="str">
        <f>+IFERROR(VLOOKUP(V22&amp;X22,formulas!$C$2:$D$26,2,FALSE),"")</f>
        <v>Moderado</v>
      </c>
      <c r="AA22" s="1109">
        <f t="shared" si="5"/>
        <v>0.5</v>
      </c>
      <c r="AB22" s="1050" t="s">
        <v>890</v>
      </c>
      <c r="AC22" s="1115" t="s">
        <v>1024</v>
      </c>
      <c r="AD22" s="1071" t="s">
        <v>57</v>
      </c>
      <c r="AE22" s="953">
        <f t="shared" si="0"/>
        <v>0.25</v>
      </c>
      <c r="AF22" s="1071" t="s">
        <v>229</v>
      </c>
      <c r="AG22" s="953">
        <f t="shared" si="6"/>
        <v>0.15</v>
      </c>
      <c r="AH22" s="953">
        <f t="shared" si="7"/>
        <v>0.4</v>
      </c>
      <c r="AI22" s="1071" t="s">
        <v>230</v>
      </c>
      <c r="AJ22" s="1071" t="s">
        <v>24</v>
      </c>
      <c r="AK22" s="1050" t="s">
        <v>396</v>
      </c>
      <c r="AL22" s="1047">
        <f>+AA22*AH22</f>
        <v>0.2</v>
      </c>
      <c r="AM22" s="1047">
        <f>+AA22-AL22</f>
        <v>0.3</v>
      </c>
      <c r="AN22" s="820" t="str">
        <f>+IF(C22="Corrupción","Moderado",IF(AM22&lt;=25%,"Bajo",IF(AM22&lt;=50%,"Moderado",IF(AM22&lt;=75%,"Alto",IF(AM22&gt;75%,"Extremo","")))))</f>
        <v>Moderado</v>
      </c>
      <c r="AO22" s="843" t="s">
        <v>59</v>
      </c>
      <c r="AP22" s="1071">
        <v>1</v>
      </c>
      <c r="AQ22" s="1071" t="s">
        <v>893</v>
      </c>
      <c r="AR22" s="1071" t="s">
        <v>281</v>
      </c>
      <c r="AS22" s="330"/>
      <c r="AT22" s="330"/>
      <c r="AU22" s="276"/>
      <c r="AV22" s="276"/>
      <c r="AW22" s="276"/>
      <c r="AX22" s="276"/>
      <c r="AY22" s="276"/>
      <c r="AZ22" s="276"/>
      <c r="BA22" s="276"/>
      <c r="BB22" s="276"/>
      <c r="BC22" s="276"/>
      <c r="BD22" s="276"/>
      <c r="BE22" s="276"/>
      <c r="BF22" s="276"/>
      <c r="BG22" s="276"/>
    </row>
    <row r="23" spans="1:59" ht="81" customHeight="1" thickBot="1">
      <c r="A23" s="963"/>
      <c r="B23" s="1102"/>
      <c r="C23" s="1102"/>
      <c r="D23" s="1102"/>
      <c r="E23" s="1102"/>
      <c r="F23" s="1102"/>
      <c r="G23" s="1102"/>
      <c r="H23" s="1102"/>
      <c r="I23" s="1102"/>
      <c r="J23" s="1102"/>
      <c r="K23" s="1072"/>
      <c r="L23" s="927"/>
      <c r="M23" s="1102"/>
      <c r="N23" s="1072" t="str">
        <f t="shared" si="1"/>
        <v/>
      </c>
      <c r="O23" s="1102"/>
      <c r="P23" s="1072" t="str">
        <f t="shared" si="2"/>
        <v/>
      </c>
      <c r="Q23" s="1102"/>
      <c r="R23" s="1072" t="str">
        <f t="shared" si="3"/>
        <v/>
      </c>
      <c r="S23" s="1072"/>
      <c r="T23" s="1072"/>
      <c r="U23" s="1110">
        <f t="shared" si="4"/>
        <v>0</v>
      </c>
      <c r="V23" s="1045"/>
      <c r="W23" s="1110" t="str">
        <f>+IFERROR(VLOOKUP(V23,formulas!$F$1:$G$6,2,FALSE),"")</f>
        <v/>
      </c>
      <c r="X23" s="822"/>
      <c r="Y23" s="1110" t="str">
        <f>+IFERROR(VLOOKUP(X23,formulas!$H$1:$I$6,2,FALSE),"")</f>
        <v/>
      </c>
      <c r="Z23" s="822"/>
      <c r="AA23" s="1110" t="str">
        <f t="shared" si="5"/>
        <v/>
      </c>
      <c r="AB23" s="1051"/>
      <c r="AC23" s="1116"/>
      <c r="AD23" s="1072"/>
      <c r="AE23" s="927"/>
      <c r="AF23" s="1072"/>
      <c r="AG23" s="927"/>
      <c r="AH23" s="927"/>
      <c r="AI23" s="1072"/>
      <c r="AJ23" s="1072"/>
      <c r="AK23" s="1051"/>
      <c r="AL23" s="886"/>
      <c r="AM23" s="886"/>
      <c r="AN23" s="822"/>
      <c r="AO23" s="845"/>
      <c r="AP23" s="1072"/>
      <c r="AQ23" s="1072"/>
      <c r="AR23" s="1072"/>
      <c r="AS23" s="329"/>
      <c r="AT23" s="329"/>
      <c r="AU23" s="110"/>
      <c r="AV23" s="110"/>
      <c r="AW23" s="110"/>
      <c r="AX23" s="110"/>
      <c r="AY23" s="110"/>
      <c r="AZ23" s="110"/>
      <c r="BA23" s="110"/>
      <c r="BB23" s="110"/>
      <c r="BC23" s="110"/>
      <c r="BD23" s="110"/>
      <c r="BE23" s="110"/>
      <c r="BF23" s="110"/>
      <c r="BG23" s="110"/>
    </row>
    <row r="24" spans="1:59" ht="81" customHeight="1">
      <c r="A24" s="988" t="s">
        <v>51</v>
      </c>
      <c r="B24" s="1101" t="s">
        <v>541</v>
      </c>
      <c r="C24" s="1101" t="s">
        <v>58</v>
      </c>
      <c r="D24" s="1101" t="s">
        <v>79</v>
      </c>
      <c r="E24" s="1101" t="s">
        <v>80</v>
      </c>
      <c r="F24" s="1128" t="s">
        <v>542</v>
      </c>
      <c r="G24" s="1133" t="s">
        <v>457</v>
      </c>
      <c r="H24" s="1128" t="s">
        <v>543</v>
      </c>
      <c r="I24" s="1128" t="s">
        <v>544</v>
      </c>
      <c r="J24" s="1131" t="s">
        <v>95</v>
      </c>
      <c r="K24" s="1071">
        <v>1</v>
      </c>
      <c r="L24" s="953">
        <f>IF(J24="Diaria",+(K24/360),IF(J24="Semanal",+(K24/52),IF(J24="Mensual",+(K24/12),IF(J24="Bimestral",+(K24/6),IF(J24="Trimestral",+(K24/4),IF(J24="Semestral",+(K24/2),IF(J24="Anual",+(K24/1),"")))))))</f>
        <v>0.5</v>
      </c>
      <c r="M24" s="1101" t="s">
        <v>47</v>
      </c>
      <c r="N24" s="953">
        <f t="shared" si="1"/>
        <v>0.4</v>
      </c>
      <c r="O24" s="1101" t="s">
        <v>76</v>
      </c>
      <c r="P24" s="953">
        <f t="shared" si="2"/>
        <v>0.8</v>
      </c>
      <c r="Q24" s="1101" t="s">
        <v>73</v>
      </c>
      <c r="R24" s="953">
        <f t="shared" si="3"/>
        <v>0</v>
      </c>
      <c r="S24" s="1071" t="s">
        <v>1004</v>
      </c>
      <c r="T24" s="1071" t="s">
        <v>1015</v>
      </c>
      <c r="U24" s="1109">
        <f t="shared" si="4"/>
        <v>0.8</v>
      </c>
      <c r="V24" s="912" t="str">
        <f>IF(L24&lt;=20%,"Muy baja",IF(L24&lt;=40%,"Baja",IF(L24&lt;=60%,"Media",IF(L24&lt;=80%,"Alta",IF(L24&lt;=100%,"Muy alta",IF(L24&gt;=100%,"Muy alta",""))))))</f>
        <v>Media</v>
      </c>
      <c r="W24" s="1109">
        <f>+IFERROR(VLOOKUP(V24,formulas!$F$1:$G$6,2,FALSE),"")</f>
        <v>0.6</v>
      </c>
      <c r="X24" s="820" t="str">
        <f>IF(U24=20%,"Leve",IF(U24=40%,"Menor",IF(U24=60%,"Moderado",IF(U24=80%,"Mayor",IF(U24=100%,"Catastrófico","")))))</f>
        <v>Mayor</v>
      </c>
      <c r="Y24" s="1109">
        <f>+IFERROR(VLOOKUP(X24,formulas!$H$1:$I$6,2,FALSE),"")</f>
        <v>0.8</v>
      </c>
      <c r="Z24" s="820" t="str">
        <f>+IFERROR(VLOOKUP(V24&amp;X24,formulas!$C$2:$D$26,2,FALSE),"")</f>
        <v>Alto</v>
      </c>
      <c r="AA24" s="1109">
        <f t="shared" si="5"/>
        <v>0.75</v>
      </c>
      <c r="AB24" s="1071"/>
      <c r="AC24" s="1111" t="s">
        <v>545</v>
      </c>
      <c r="AD24" s="1071" t="s">
        <v>57</v>
      </c>
      <c r="AE24" s="953">
        <f t="shared" si="0"/>
        <v>0.25</v>
      </c>
      <c r="AF24" s="1071" t="s">
        <v>229</v>
      </c>
      <c r="AG24" s="953">
        <f t="shared" si="6"/>
        <v>0.15</v>
      </c>
      <c r="AH24" s="953">
        <f t="shared" si="7"/>
        <v>0.4</v>
      </c>
      <c r="AI24" s="1071" t="s">
        <v>230</v>
      </c>
      <c r="AJ24" s="1071" t="s">
        <v>24</v>
      </c>
      <c r="AK24" s="1050" t="s">
        <v>546</v>
      </c>
      <c r="AL24" s="1047">
        <f>+AA24*AH24</f>
        <v>0.30000000000000004</v>
      </c>
      <c r="AM24" s="1047">
        <f>+AA24-AL24</f>
        <v>0.44999999999999996</v>
      </c>
      <c r="AN24" s="820" t="str">
        <f>+IF(C24="Corrupción","Moderado",IF(AM24&lt;=25%,"Bajo",IF(AM24&lt;=50%,AM24,IF(AM24&lt;=75%,"Alto",IF(AM24&gt;75%,"Extremo","")))))</f>
        <v>Moderado</v>
      </c>
      <c r="AO24" s="843" t="s">
        <v>59</v>
      </c>
      <c r="AP24" s="1071">
        <v>1</v>
      </c>
      <c r="AQ24" s="1107"/>
      <c r="AR24" s="1071" t="s">
        <v>1025</v>
      </c>
      <c r="AS24" s="330"/>
      <c r="AT24" s="330"/>
      <c r="AU24" s="276"/>
      <c r="AV24" s="276"/>
      <c r="AW24" s="276"/>
      <c r="AX24" s="276"/>
      <c r="AY24" s="276"/>
      <c r="AZ24" s="276"/>
      <c r="BA24" s="276"/>
      <c r="BB24" s="276"/>
      <c r="BC24" s="276"/>
      <c r="BD24" s="276"/>
      <c r="BE24" s="276"/>
      <c r="BF24" s="276"/>
      <c r="BG24" s="276"/>
    </row>
    <row r="25" spans="1:59" ht="153.75" customHeight="1" thickBot="1">
      <c r="A25" s="963"/>
      <c r="B25" s="1102"/>
      <c r="C25" s="1102"/>
      <c r="D25" s="1102"/>
      <c r="E25" s="1102"/>
      <c r="F25" s="1129"/>
      <c r="G25" s="1134"/>
      <c r="H25" s="1129"/>
      <c r="I25" s="1129"/>
      <c r="J25" s="1132"/>
      <c r="K25" s="1072"/>
      <c r="L25" s="927"/>
      <c r="M25" s="1102"/>
      <c r="N25" s="927"/>
      <c r="O25" s="1102"/>
      <c r="P25" s="927" t="str">
        <f t="shared" si="2"/>
        <v/>
      </c>
      <c r="Q25" s="1102"/>
      <c r="R25" s="927" t="str">
        <f t="shared" si="3"/>
        <v/>
      </c>
      <c r="S25" s="1072"/>
      <c r="T25" s="1072"/>
      <c r="U25" s="1110">
        <f t="shared" si="4"/>
        <v>0</v>
      </c>
      <c r="V25" s="1045"/>
      <c r="W25" s="1110" t="str">
        <f>+IFERROR(VLOOKUP(V25,formulas!$F$1:$G$6,2,FALSE),"")</f>
        <v/>
      </c>
      <c r="X25" s="822"/>
      <c r="Y25" s="1110" t="str">
        <f>+IFERROR(VLOOKUP(X25,formulas!$H$1:$I$6,2,FALSE),"")</f>
        <v/>
      </c>
      <c r="Z25" s="822"/>
      <c r="AA25" s="1110" t="str">
        <f t="shared" si="5"/>
        <v/>
      </c>
      <c r="AB25" s="1072"/>
      <c r="AC25" s="1112"/>
      <c r="AD25" s="1072"/>
      <c r="AE25" s="927"/>
      <c r="AF25" s="1072"/>
      <c r="AG25" s="927"/>
      <c r="AH25" s="927"/>
      <c r="AI25" s="1072"/>
      <c r="AJ25" s="1072"/>
      <c r="AK25" s="1051"/>
      <c r="AL25" s="886"/>
      <c r="AM25" s="886"/>
      <c r="AN25" s="822"/>
      <c r="AO25" s="845"/>
      <c r="AP25" s="1072"/>
      <c r="AQ25" s="1108"/>
      <c r="AR25" s="1072"/>
      <c r="AS25" s="329"/>
      <c r="AT25" s="329"/>
      <c r="AU25" s="110"/>
      <c r="AV25" s="110"/>
      <c r="AW25" s="110"/>
      <c r="AX25" s="110"/>
      <c r="AY25" s="110"/>
      <c r="AZ25" s="110"/>
      <c r="BA25" s="110"/>
      <c r="BB25" s="110"/>
      <c r="BC25" s="110"/>
      <c r="BD25" s="110"/>
      <c r="BE25" s="110"/>
      <c r="BF25" s="110"/>
      <c r="BG25" s="110"/>
    </row>
    <row r="26" spans="1:59" ht="81" customHeight="1">
      <c r="A26" s="988" t="s">
        <v>231</v>
      </c>
      <c r="B26" s="1101" t="s">
        <v>29</v>
      </c>
      <c r="C26" s="1101" t="s">
        <v>92</v>
      </c>
      <c r="D26" s="1101" t="s">
        <v>79</v>
      </c>
      <c r="E26" s="1101" t="s">
        <v>36</v>
      </c>
      <c r="F26" s="1101" t="s">
        <v>547</v>
      </c>
      <c r="G26" s="1101" t="s">
        <v>548</v>
      </c>
      <c r="H26" s="1105" t="s">
        <v>549</v>
      </c>
      <c r="I26" s="1101" t="s">
        <v>550</v>
      </c>
      <c r="J26" s="1101" t="s">
        <v>66</v>
      </c>
      <c r="K26" s="1071">
        <v>1</v>
      </c>
      <c r="L26" s="953">
        <f>IF(J26="Diaria",+(K26/360),IF(J26="Semanal",+(K26/52),IF(J26="Mensual",+(K26/12),IF(J26="Bimestral",+(K26/6),IF(J26="Trimestral",+(K26/4),IF(J26="Semestral",+(K26/2),IF(J26="Anual",+(K26/1),"")))))))</f>
        <v>8.3333333333333329E-2</v>
      </c>
      <c r="M26" s="1101" t="s">
        <v>73</v>
      </c>
      <c r="N26" s="953">
        <f t="shared" si="1"/>
        <v>0</v>
      </c>
      <c r="O26" s="1101" t="s">
        <v>31</v>
      </c>
      <c r="P26" s="953">
        <f t="shared" si="2"/>
        <v>0.2</v>
      </c>
      <c r="Q26" s="1101" t="s">
        <v>73</v>
      </c>
      <c r="R26" s="953">
        <f t="shared" si="3"/>
        <v>0</v>
      </c>
      <c r="S26" s="1071" t="s">
        <v>1004</v>
      </c>
      <c r="T26" s="1071" t="s">
        <v>45</v>
      </c>
      <c r="U26" s="1109">
        <f t="shared" si="4"/>
        <v>0.2</v>
      </c>
      <c r="V26" s="912" t="str">
        <f>IF(L26&lt;=20%,"Muy baja",IF(L26&lt;=40%,"Baja",IF(L26&lt;=60%,"Media",IF(L26&lt;=80%,"Alta",IF(L26&lt;=100%,"Muy alta",IF(L26&gt;=100%,"Muy alta",""))))))</f>
        <v>Muy baja</v>
      </c>
      <c r="W26" s="1109">
        <f>+IFERROR(VLOOKUP(V26,formulas!$F$1:$G$6,2,FALSE),"")</f>
        <v>0.2</v>
      </c>
      <c r="X26" s="820" t="str">
        <f>IF(U26=20%,"Leve",IF(U26=40%,"Menor",IF(U26=60%,"Moderado",IF(U26=80%,"Mayor",IF(U26=100%,"Catastrófico","")))))</f>
        <v>Leve</v>
      </c>
      <c r="Y26" s="1109">
        <f>+IFERROR(VLOOKUP(X26,formulas!$H$1:$I$6,2,FALSE),"")</f>
        <v>0.2</v>
      </c>
      <c r="Z26" s="820" t="str">
        <f>+IFERROR(VLOOKUP(V26&amp;X26,formulas!$C$2:$D$26,2,FALSE),"")</f>
        <v>Bajo</v>
      </c>
      <c r="AA26" s="1109">
        <f t="shared" si="5"/>
        <v>0.25</v>
      </c>
      <c r="AB26" s="1050" t="s">
        <v>551</v>
      </c>
      <c r="AC26" s="1111" t="s">
        <v>1026</v>
      </c>
      <c r="AD26" s="1071" t="s">
        <v>57</v>
      </c>
      <c r="AE26" s="953">
        <f t="shared" si="0"/>
        <v>0.25</v>
      </c>
      <c r="AF26" s="1071" t="s">
        <v>553</v>
      </c>
      <c r="AG26" s="953">
        <f t="shared" si="6"/>
        <v>0.25</v>
      </c>
      <c r="AH26" s="953">
        <f t="shared" si="7"/>
        <v>0.5</v>
      </c>
      <c r="AI26" s="1071" t="s">
        <v>230</v>
      </c>
      <c r="AJ26" s="1071" t="s">
        <v>24</v>
      </c>
      <c r="AK26" s="1050" t="s">
        <v>554</v>
      </c>
      <c r="AL26" s="1047">
        <f>+AA26*AH26</f>
        <v>0.125</v>
      </c>
      <c r="AM26" s="1047">
        <f>+AA26-AL26</f>
        <v>0.125</v>
      </c>
      <c r="AN26" s="820" t="str">
        <f>+IF(C26="Corrupción","Moderado",IF(AM26&lt;=25%,"Bajo",IF(AM26&lt;=50%,"Moderado",IF(AM26&lt;=75%,"Alto",IF(AM26&gt;75%,"Extremo","")))))</f>
        <v>Bajo</v>
      </c>
      <c r="AO26" s="843" t="s">
        <v>59</v>
      </c>
      <c r="AP26" s="1071">
        <v>1</v>
      </c>
      <c r="AQ26" s="1071"/>
      <c r="AR26" s="1071" t="s">
        <v>1025</v>
      </c>
      <c r="AS26" s="330"/>
      <c r="AT26" s="330"/>
      <c r="AU26" s="276"/>
      <c r="AV26" s="276"/>
      <c r="AW26" s="276"/>
      <c r="AX26" s="276"/>
      <c r="AY26" s="276"/>
      <c r="AZ26" s="276"/>
      <c r="BA26" s="276"/>
      <c r="BB26" s="276"/>
      <c r="BC26" s="276"/>
      <c r="BD26" s="276"/>
      <c r="BE26" s="276"/>
      <c r="BF26" s="276"/>
      <c r="BG26" s="276"/>
    </row>
    <row r="27" spans="1:59" ht="81" customHeight="1" thickBot="1">
      <c r="A27" s="963"/>
      <c r="B27" s="1102"/>
      <c r="C27" s="1102"/>
      <c r="D27" s="1102"/>
      <c r="E27" s="1102"/>
      <c r="F27" s="1102"/>
      <c r="G27" s="1102"/>
      <c r="H27" s="1106"/>
      <c r="I27" s="1102"/>
      <c r="J27" s="1102"/>
      <c r="K27" s="1072"/>
      <c r="L27" s="927"/>
      <c r="M27" s="1102"/>
      <c r="N27" s="927" t="str">
        <f t="shared" si="1"/>
        <v/>
      </c>
      <c r="O27" s="1102"/>
      <c r="P27" s="927" t="str">
        <f t="shared" si="2"/>
        <v/>
      </c>
      <c r="Q27" s="1102"/>
      <c r="R27" s="927" t="str">
        <f t="shared" si="3"/>
        <v/>
      </c>
      <c r="S27" s="1072"/>
      <c r="T27" s="1072"/>
      <c r="U27" s="1110">
        <f t="shared" si="4"/>
        <v>0</v>
      </c>
      <c r="V27" s="915"/>
      <c r="W27" s="1110" t="str">
        <f>+IFERROR(VLOOKUP(V27,formulas!$F$1:$G$6,2,FALSE),"")</f>
        <v/>
      </c>
      <c r="X27" s="822"/>
      <c r="Y27" s="1110" t="str">
        <f>+IFERROR(VLOOKUP(X27,formulas!$H$1:$I$6,2,FALSE),"")</f>
        <v/>
      </c>
      <c r="Z27" s="822"/>
      <c r="AA27" s="1110" t="str">
        <f t="shared" si="5"/>
        <v/>
      </c>
      <c r="AB27" s="1072"/>
      <c r="AC27" s="1112"/>
      <c r="AD27" s="1072"/>
      <c r="AE27" s="927"/>
      <c r="AF27" s="1072"/>
      <c r="AG27" s="927"/>
      <c r="AH27" s="927"/>
      <c r="AI27" s="1072"/>
      <c r="AJ27" s="1072"/>
      <c r="AK27" s="1072"/>
      <c r="AL27" s="886"/>
      <c r="AM27" s="886"/>
      <c r="AN27" s="822"/>
      <c r="AO27" s="845"/>
      <c r="AP27" s="1072"/>
      <c r="AQ27" s="1072"/>
      <c r="AR27" s="1072"/>
      <c r="AS27" s="329"/>
      <c r="AT27" s="329"/>
      <c r="AU27" s="110"/>
      <c r="AV27" s="110"/>
      <c r="AW27" s="110"/>
      <c r="AX27" s="110"/>
      <c r="AY27" s="110"/>
      <c r="AZ27" s="110"/>
      <c r="BA27" s="110"/>
      <c r="BB27" s="110"/>
      <c r="BC27" s="110"/>
      <c r="BD27" s="110"/>
      <c r="BE27" s="110"/>
      <c r="BF27" s="110"/>
      <c r="BG27" s="110"/>
    </row>
    <row r="28" spans="1:59" ht="81" customHeight="1" thickBot="1">
      <c r="A28" s="988" t="s">
        <v>51</v>
      </c>
      <c r="B28" s="1099" t="s">
        <v>94</v>
      </c>
      <c r="C28" s="1101" t="s">
        <v>152</v>
      </c>
      <c r="D28" s="1101" t="s">
        <v>12</v>
      </c>
      <c r="E28" s="1101" t="s">
        <v>36</v>
      </c>
      <c r="F28" s="1103" t="s">
        <v>1027</v>
      </c>
      <c r="G28" s="1103" t="s">
        <v>1028</v>
      </c>
      <c r="H28" s="1105" t="s">
        <v>1029</v>
      </c>
      <c r="I28" s="1105" t="s">
        <v>1030</v>
      </c>
      <c r="J28" s="1099" t="s">
        <v>66</v>
      </c>
      <c r="K28" s="1101">
        <v>0</v>
      </c>
      <c r="L28" s="953">
        <f>IF(J28="Diaria",+(K28/360),IF(J28="Semanal",+(K28/52),IF(J28="Mensual",+(K28/12),IF(J28="Bimestral",+(K28/6),IF(J28="Trimestral",+(K28/4),IF(J28="Semestral",+(K28/2),IF(J28="Anual",+(K28/1),"")))))))</f>
        <v>0</v>
      </c>
      <c r="M28" s="1101" t="s">
        <v>30</v>
      </c>
      <c r="N28" s="953">
        <f t="shared" si="1"/>
        <v>0.2</v>
      </c>
      <c r="O28" s="1101" t="s">
        <v>31</v>
      </c>
      <c r="P28" s="953">
        <f t="shared" si="2"/>
        <v>0.2</v>
      </c>
      <c r="Q28" s="1101" t="s">
        <v>73</v>
      </c>
      <c r="R28" s="953">
        <f t="shared" si="3"/>
        <v>0</v>
      </c>
      <c r="S28" s="1071" t="s">
        <v>73</v>
      </c>
      <c r="T28" s="1071" t="s">
        <v>73</v>
      </c>
      <c r="U28" s="1109">
        <f t="shared" si="4"/>
        <v>0.2</v>
      </c>
      <c r="V28" s="912" t="str">
        <f>IF(L28&lt;=20%,"Muy baja",IF(L28&lt;=40%,"Baja",IF(L28&lt;=60%,"Media",IF(L28&lt;=80%,"Alta",IF(L28&lt;=100%,"Muy alta",IF(L28&gt;=100%,"Muy alta",""))))))</f>
        <v>Muy baja</v>
      </c>
      <c r="W28" s="1109">
        <f>+IFERROR(VLOOKUP(V28,formulas!$F$1:$G$6,2,FALSE),"")</f>
        <v>0.2</v>
      </c>
      <c r="X28" s="820" t="str">
        <f>IF(U28=20%,"Leve",IF(U28=40%,"Menor",IF(U28=60%,"Moderado",IF(U28=80%,"Mayor",IF(U28=100%,"Catastrófico","")))))</f>
        <v>Leve</v>
      </c>
      <c r="Y28" s="1109">
        <f>+IFERROR(VLOOKUP(X28,formulas!$H$1:$I$6,2,FALSE),"")</f>
        <v>0.2</v>
      </c>
      <c r="Z28" s="820" t="str">
        <f>+IFERROR(VLOOKUP(V28&amp;X28,formulas!$C$2:$D$26,2,FALSE),"")</f>
        <v>Bajo</v>
      </c>
      <c r="AA28" s="1109">
        <f t="shared" si="5"/>
        <v>0.25</v>
      </c>
      <c r="AB28" s="1050" t="s">
        <v>1031</v>
      </c>
      <c r="AC28" s="692" t="s">
        <v>1032</v>
      </c>
      <c r="AD28" s="489" t="s">
        <v>57</v>
      </c>
      <c r="AE28" s="656">
        <f t="shared" si="0"/>
        <v>0.25</v>
      </c>
      <c r="AF28" s="707" t="s">
        <v>229</v>
      </c>
      <c r="AG28" s="656">
        <f>IF(AF28="Manual",15%,IF(AF28="Automático",25%,""))</f>
        <v>0.15</v>
      </c>
      <c r="AH28" s="656">
        <f>+AG28+AE28</f>
        <v>0.4</v>
      </c>
      <c r="AI28" s="707" t="s">
        <v>230</v>
      </c>
      <c r="AJ28" s="708" t="s">
        <v>24</v>
      </c>
      <c r="AK28" s="697" t="s">
        <v>1033</v>
      </c>
      <c r="AL28" s="647">
        <f>+AA28*AH28</f>
        <v>0.1</v>
      </c>
      <c r="AM28" s="647">
        <f>+AA28-AL28</f>
        <v>0.15</v>
      </c>
      <c r="AN28" s="820" t="str">
        <f>+IF(C28="Corrupción","Moderado",IF(AM29&lt;=25%,"Bajo",IF(AM29&lt;=50%,"Moderado",IF(AM29&lt;=75%,"Alto",IF(AM29&gt;75%,"Extremo","")))))</f>
        <v>Bajo</v>
      </c>
      <c r="AO28" s="843" t="s">
        <v>59</v>
      </c>
      <c r="AP28" s="697">
        <v>1</v>
      </c>
      <c r="AQ28" s="692"/>
      <c r="AR28" s="692" t="s">
        <v>281</v>
      </c>
      <c r="AS28" s="330"/>
      <c r="AT28" s="330"/>
      <c r="AU28" s="276"/>
      <c r="AV28" s="276"/>
      <c r="AW28" s="276"/>
      <c r="AX28" s="276"/>
      <c r="AY28" s="276"/>
      <c r="AZ28" s="276"/>
      <c r="BA28" s="276"/>
      <c r="BB28" s="276"/>
      <c r="BC28" s="276"/>
      <c r="BD28" s="276"/>
      <c r="BE28" s="276"/>
      <c r="BF28" s="276"/>
      <c r="BG28" s="276"/>
    </row>
    <row r="29" spans="1:59" ht="81" customHeight="1" thickBot="1">
      <c r="A29" s="963"/>
      <c r="B29" s="1100"/>
      <c r="C29" s="1102"/>
      <c r="D29" s="1102"/>
      <c r="E29" s="1102"/>
      <c r="F29" s="1104"/>
      <c r="G29" s="1104"/>
      <c r="H29" s="1106"/>
      <c r="I29" s="1106"/>
      <c r="J29" s="1100"/>
      <c r="K29" s="1102"/>
      <c r="L29" s="927"/>
      <c r="M29" s="1102"/>
      <c r="N29" s="927" t="str">
        <f t="shared" si="1"/>
        <v/>
      </c>
      <c r="O29" s="1102"/>
      <c r="P29" s="927" t="str">
        <f t="shared" si="2"/>
        <v/>
      </c>
      <c r="Q29" s="1102"/>
      <c r="R29" s="927" t="str">
        <f t="shared" si="3"/>
        <v/>
      </c>
      <c r="S29" s="1072"/>
      <c r="T29" s="1072"/>
      <c r="U29" s="1110">
        <f t="shared" si="4"/>
        <v>0</v>
      </c>
      <c r="V29" s="915"/>
      <c r="W29" s="1110" t="str">
        <f>+IFERROR(VLOOKUP(V29,formulas!$F$1:$G$6,2,FALSE),"")</f>
        <v/>
      </c>
      <c r="X29" s="822"/>
      <c r="Y29" s="1110" t="str">
        <f>+IFERROR(VLOOKUP(X29,formulas!$H$1:$I$6,2,FALSE),"")</f>
        <v/>
      </c>
      <c r="Z29" s="822"/>
      <c r="AA29" s="1110" t="str">
        <f t="shared" si="5"/>
        <v/>
      </c>
      <c r="AB29" s="1051"/>
      <c r="AC29" s="693" t="s">
        <v>1034</v>
      </c>
      <c r="AD29" s="489" t="s">
        <v>57</v>
      </c>
      <c r="AE29" s="657">
        <f t="shared" si="0"/>
        <v>0.25</v>
      </c>
      <c r="AF29" s="698" t="s">
        <v>229</v>
      </c>
      <c r="AG29" s="657">
        <f>IF(AF29="Manual",15%,IF(AF29="Automático",25%,""))</f>
        <v>0.15</v>
      </c>
      <c r="AH29" s="657">
        <f>+AG29+AE29</f>
        <v>0.4</v>
      </c>
      <c r="AI29" s="698" t="s">
        <v>230</v>
      </c>
      <c r="AJ29" s="693" t="s">
        <v>24</v>
      </c>
      <c r="AK29" s="693" t="s">
        <v>403</v>
      </c>
      <c r="AL29" s="648">
        <f>+AM28*AH29</f>
        <v>0.06</v>
      </c>
      <c r="AM29" s="648">
        <f>+AM28-AL29</f>
        <v>0.09</v>
      </c>
      <c r="AN29" s="822"/>
      <c r="AO29" s="845"/>
      <c r="AP29" s="698">
        <v>2</v>
      </c>
      <c r="AQ29" s="693" t="s">
        <v>405</v>
      </c>
      <c r="AR29" s="693" t="s">
        <v>281</v>
      </c>
      <c r="AS29" s="329"/>
      <c r="AT29" s="329"/>
      <c r="AU29" s="110"/>
      <c r="AV29" s="110"/>
      <c r="AW29" s="110"/>
      <c r="AX29" s="110"/>
      <c r="AY29" s="110"/>
      <c r="AZ29" s="110"/>
      <c r="BA29" s="110"/>
      <c r="BB29" s="110"/>
      <c r="BC29" s="110"/>
      <c r="BD29" s="110"/>
      <c r="BE29" s="110"/>
      <c r="BF29" s="110"/>
      <c r="BG29" s="110"/>
    </row>
  </sheetData>
  <mergeCells count="450">
    <mergeCell ref="L18:L21"/>
    <mergeCell ref="L22:L23"/>
    <mergeCell ref="L24:L25"/>
    <mergeCell ref="L26:L27"/>
    <mergeCell ref="N11:N12"/>
    <mergeCell ref="M22:M23"/>
    <mergeCell ref="M11:M12"/>
    <mergeCell ref="M13:M15"/>
    <mergeCell ref="M24:M25"/>
    <mergeCell ref="M26:M27"/>
    <mergeCell ref="S4:S6"/>
    <mergeCell ref="T4:T6"/>
    <mergeCell ref="N26:N27"/>
    <mergeCell ref="N22:N23"/>
    <mergeCell ref="N16:N17"/>
    <mergeCell ref="N24:N25"/>
    <mergeCell ref="AC9:AC10"/>
    <mergeCell ref="AO4:AO6"/>
    <mergeCell ref="AN4:AN6"/>
    <mergeCell ref="U4:U6"/>
    <mergeCell ref="P22:P23"/>
    <mergeCell ref="P24:P25"/>
    <mergeCell ref="P26:P27"/>
    <mergeCell ref="O7:O8"/>
    <mergeCell ref="O9:O10"/>
    <mergeCell ref="O11:O12"/>
    <mergeCell ref="O13:O15"/>
    <mergeCell ref="O16:O17"/>
    <mergeCell ref="O18:O21"/>
    <mergeCell ref="O22:O23"/>
    <mergeCell ref="O24:O25"/>
    <mergeCell ref="O26:O27"/>
    <mergeCell ref="P4:P6"/>
    <mergeCell ref="P7:P8"/>
    <mergeCell ref="AN28:AN29"/>
    <mergeCell ref="AO28:AO29"/>
    <mergeCell ref="A4:A6"/>
    <mergeCell ref="B4:B6"/>
    <mergeCell ref="C4:C6"/>
    <mergeCell ref="D4:D6"/>
    <mergeCell ref="O4:O6"/>
    <mergeCell ref="E4:E6"/>
    <mergeCell ref="F4:F6"/>
    <mergeCell ref="G4:G6"/>
    <mergeCell ref="H4:H6"/>
    <mergeCell ref="I4:I6"/>
    <mergeCell ref="I11:I12"/>
    <mergeCell ref="J11:J12"/>
    <mergeCell ref="K11:K12"/>
    <mergeCell ref="A13:A15"/>
    <mergeCell ref="B13:B15"/>
    <mergeCell ref="C13:C15"/>
    <mergeCell ref="D13:D15"/>
    <mergeCell ref="E13:E15"/>
    <mergeCell ref="A11:A12"/>
    <mergeCell ref="B11:B12"/>
    <mergeCell ref="C11:C12"/>
    <mergeCell ref="D11:D12"/>
    <mergeCell ref="AV1:BE1"/>
    <mergeCell ref="AC2:AC3"/>
    <mergeCell ref="AD2:AG2"/>
    <mergeCell ref="AH2:AH3"/>
    <mergeCell ref="AI2:AK2"/>
    <mergeCell ref="C9:C10"/>
    <mergeCell ref="J4:J6"/>
    <mergeCell ref="K4:K6"/>
    <mergeCell ref="Q4:Q6"/>
    <mergeCell ref="R4:R6"/>
    <mergeCell ref="A1:T2"/>
    <mergeCell ref="U1:AB2"/>
    <mergeCell ref="AC1:AK1"/>
    <mergeCell ref="AM1:AO1"/>
    <mergeCell ref="AP1:AU1"/>
    <mergeCell ref="AU2:AU3"/>
    <mergeCell ref="AV2:AZ2"/>
    <mergeCell ref="BA2:BE2"/>
    <mergeCell ref="G3:H3"/>
    <mergeCell ref="AJ3:AK3"/>
    <mergeCell ref="AL2:AN3"/>
    <mergeCell ref="AO2:AO3"/>
    <mergeCell ref="AP2:AQ3"/>
    <mergeCell ref="AR2:AR3"/>
    <mergeCell ref="AS2:AS3"/>
    <mergeCell ref="AT2:AT3"/>
    <mergeCell ref="A7:A8"/>
    <mergeCell ref="B7:B8"/>
    <mergeCell ref="C7:C8"/>
    <mergeCell ref="D7:D8"/>
    <mergeCell ref="E7:E8"/>
    <mergeCell ref="F9:F10"/>
    <mergeCell ref="F7:F8"/>
    <mergeCell ref="A9:A10"/>
    <mergeCell ref="B9:B10"/>
    <mergeCell ref="D9:D10"/>
    <mergeCell ref="E9:E10"/>
    <mergeCell ref="G9:G10"/>
    <mergeCell ref="H9:H10"/>
    <mergeCell ref="I9:I10"/>
    <mergeCell ref="J9:J10"/>
    <mergeCell ref="K9:K10"/>
    <mergeCell ref="G7:G8"/>
    <mergeCell ref="H7:H8"/>
    <mergeCell ref="I7:I8"/>
    <mergeCell ref="J7:J8"/>
    <mergeCell ref="K7:K8"/>
    <mergeCell ref="L4:L6"/>
    <mergeCell ref="E11:E12"/>
    <mergeCell ref="G16:G17"/>
    <mergeCell ref="H16:H17"/>
    <mergeCell ref="F13:F15"/>
    <mergeCell ref="G13:G15"/>
    <mergeCell ref="H13:H15"/>
    <mergeCell ref="F11:F12"/>
    <mergeCell ref="G11:G12"/>
    <mergeCell ref="H11:H12"/>
    <mergeCell ref="A16:A17"/>
    <mergeCell ref="B16:B17"/>
    <mergeCell ref="C16:C17"/>
    <mergeCell ref="D16:D17"/>
    <mergeCell ref="E16:E17"/>
    <mergeCell ref="F16:F17"/>
    <mergeCell ref="F18:F21"/>
    <mergeCell ref="G18:G21"/>
    <mergeCell ref="H18:H21"/>
    <mergeCell ref="A22:A23"/>
    <mergeCell ref="B22:B23"/>
    <mergeCell ref="C22:C23"/>
    <mergeCell ref="D22:D23"/>
    <mergeCell ref="E22:E23"/>
    <mergeCell ref="F22:F23"/>
    <mergeCell ref="F24:F25"/>
    <mergeCell ref="G24:G25"/>
    <mergeCell ref="H24:H25"/>
    <mergeCell ref="A24:A25"/>
    <mergeCell ref="B24:B25"/>
    <mergeCell ref="C24:C25"/>
    <mergeCell ref="D24:D25"/>
    <mergeCell ref="E24:E25"/>
    <mergeCell ref="J18:J21"/>
    <mergeCell ref="I16:I17"/>
    <mergeCell ref="J16:J17"/>
    <mergeCell ref="K16:K17"/>
    <mergeCell ref="K18:K21"/>
    <mergeCell ref="L16:L17"/>
    <mergeCell ref="A26:A27"/>
    <mergeCell ref="B26:B27"/>
    <mergeCell ref="C26:C27"/>
    <mergeCell ref="D26:D27"/>
    <mergeCell ref="E26:E27"/>
    <mergeCell ref="F26:F27"/>
    <mergeCell ref="I26:I27"/>
    <mergeCell ref="J26:J27"/>
    <mergeCell ref="K26:K27"/>
    <mergeCell ref="G22:G23"/>
    <mergeCell ref="H22:H23"/>
    <mergeCell ref="A18:A21"/>
    <mergeCell ref="B18:B21"/>
    <mergeCell ref="C18:C21"/>
    <mergeCell ref="D18:D21"/>
    <mergeCell ref="E18:E21"/>
    <mergeCell ref="G26:G27"/>
    <mergeCell ref="H26:H27"/>
    <mergeCell ref="L7:L8"/>
    <mergeCell ref="L11:L12"/>
    <mergeCell ref="L9:L10"/>
    <mergeCell ref="L13:L15"/>
    <mergeCell ref="I24:I25"/>
    <mergeCell ref="I13:I15"/>
    <mergeCell ref="N4:N6"/>
    <mergeCell ref="N13:N15"/>
    <mergeCell ref="N18:N21"/>
    <mergeCell ref="M16:M17"/>
    <mergeCell ref="M18:M21"/>
    <mergeCell ref="M4:M6"/>
    <mergeCell ref="M7:M8"/>
    <mergeCell ref="M9:M10"/>
    <mergeCell ref="N9:N10"/>
    <mergeCell ref="N7:N8"/>
    <mergeCell ref="J13:J15"/>
    <mergeCell ref="K13:K15"/>
    <mergeCell ref="J24:J25"/>
    <mergeCell ref="K24:K25"/>
    <mergeCell ref="I22:I23"/>
    <mergeCell ref="J22:J23"/>
    <mergeCell ref="K22:K23"/>
    <mergeCell ref="I18:I21"/>
    <mergeCell ref="R26:R27"/>
    <mergeCell ref="Q7:Q8"/>
    <mergeCell ref="Q9:Q10"/>
    <mergeCell ref="Q11:Q12"/>
    <mergeCell ref="Q13:Q15"/>
    <mergeCell ref="Q16:Q17"/>
    <mergeCell ref="Q18:Q21"/>
    <mergeCell ref="Q22:Q23"/>
    <mergeCell ref="Q24:Q25"/>
    <mergeCell ref="Q26:Q27"/>
    <mergeCell ref="R24:R25"/>
    <mergeCell ref="T7:T8"/>
    <mergeCell ref="S9:S10"/>
    <mergeCell ref="T9:T10"/>
    <mergeCell ref="S11:S12"/>
    <mergeCell ref="S22:S23"/>
    <mergeCell ref="T22:T23"/>
    <mergeCell ref="P9:P10"/>
    <mergeCell ref="P11:P12"/>
    <mergeCell ref="P13:P15"/>
    <mergeCell ref="P16:P17"/>
    <mergeCell ref="P18:P21"/>
    <mergeCell ref="R7:R8"/>
    <mergeCell ref="R9:R10"/>
    <mergeCell ref="R11:R12"/>
    <mergeCell ref="R13:R15"/>
    <mergeCell ref="R16:R17"/>
    <mergeCell ref="R18:R21"/>
    <mergeCell ref="R22:R23"/>
    <mergeCell ref="S7:S8"/>
    <mergeCell ref="S26:S27"/>
    <mergeCell ref="T26:T27"/>
    <mergeCell ref="T11:T12"/>
    <mergeCell ref="S13:S15"/>
    <mergeCell ref="T13:T15"/>
    <mergeCell ref="S16:S17"/>
    <mergeCell ref="T16:T17"/>
    <mergeCell ref="S18:S21"/>
    <mergeCell ref="T18:T21"/>
    <mergeCell ref="S24:S25"/>
    <mergeCell ref="T24:T25"/>
    <mergeCell ref="V26:V27"/>
    <mergeCell ref="U7:U8"/>
    <mergeCell ref="U9:U10"/>
    <mergeCell ref="U11:U12"/>
    <mergeCell ref="U13:U15"/>
    <mergeCell ref="U16:U17"/>
    <mergeCell ref="U18:U21"/>
    <mergeCell ref="U22:U23"/>
    <mergeCell ref="U24:U25"/>
    <mergeCell ref="U26:U27"/>
    <mergeCell ref="Y4:Y6"/>
    <mergeCell ref="Y7:Y8"/>
    <mergeCell ref="Y9:Y10"/>
    <mergeCell ref="Y11:Y12"/>
    <mergeCell ref="Y13:Y15"/>
    <mergeCell ref="Y16:Y17"/>
    <mergeCell ref="V18:V21"/>
    <mergeCell ref="W22:W23"/>
    <mergeCell ref="W24:W25"/>
    <mergeCell ref="V22:V23"/>
    <mergeCell ref="V24:V25"/>
    <mergeCell ref="X13:X15"/>
    <mergeCell ref="X16:X17"/>
    <mergeCell ref="X18:X21"/>
    <mergeCell ref="W4:W6"/>
    <mergeCell ref="W7:W8"/>
    <mergeCell ref="W9:W10"/>
    <mergeCell ref="W11:W12"/>
    <mergeCell ref="W13:W15"/>
    <mergeCell ref="W16:W17"/>
    <mergeCell ref="W18:W21"/>
    <mergeCell ref="AB9:AB10"/>
    <mergeCell ref="AB11:AB12"/>
    <mergeCell ref="AB13:AB15"/>
    <mergeCell ref="AB16:AB17"/>
    <mergeCell ref="Y26:Y27"/>
    <mergeCell ref="Y18:Y21"/>
    <mergeCell ref="X26:X27"/>
    <mergeCell ref="Z4:Z6"/>
    <mergeCell ref="Z7:Z8"/>
    <mergeCell ref="Z9:Z10"/>
    <mergeCell ref="Z11:Z12"/>
    <mergeCell ref="Z13:Z15"/>
    <mergeCell ref="Z16:Z17"/>
    <mergeCell ref="Z18:Z21"/>
    <mergeCell ref="X22:X23"/>
    <mergeCell ref="X24:X25"/>
    <mergeCell ref="AA4:AA6"/>
    <mergeCell ref="AA7:AA8"/>
    <mergeCell ref="AA9:AA10"/>
    <mergeCell ref="AA11:AA12"/>
    <mergeCell ref="AA13:AA15"/>
    <mergeCell ref="AA18:AA21"/>
    <mergeCell ref="X9:X10"/>
    <mergeCell ref="X11:X12"/>
    <mergeCell ref="AD18:AD19"/>
    <mergeCell ref="AC20:AC21"/>
    <mergeCell ref="Z22:Z23"/>
    <mergeCell ref="Z24:Z25"/>
    <mergeCell ref="Z26:Z27"/>
    <mergeCell ref="AA26:AA27"/>
    <mergeCell ref="AB18:AB21"/>
    <mergeCell ref="AA22:AA23"/>
    <mergeCell ref="V4:V6"/>
    <mergeCell ref="V7:V8"/>
    <mergeCell ref="V9:V10"/>
    <mergeCell ref="V11:V12"/>
    <mergeCell ref="V13:V15"/>
    <mergeCell ref="V16:V17"/>
    <mergeCell ref="AA16:AA17"/>
    <mergeCell ref="X4:X6"/>
    <mergeCell ref="X7:X8"/>
    <mergeCell ref="AA24:AA25"/>
    <mergeCell ref="AB22:AB23"/>
    <mergeCell ref="AB24:AB25"/>
    <mergeCell ref="Y22:Y23"/>
    <mergeCell ref="Y24:Y25"/>
    <mergeCell ref="AB4:AB6"/>
    <mergeCell ref="AB7:AB8"/>
    <mergeCell ref="AC16:AC17"/>
    <mergeCell ref="AG26:AG27"/>
    <mergeCell ref="AH26:AH27"/>
    <mergeCell ref="AD7:AD8"/>
    <mergeCell ref="AC7:AC8"/>
    <mergeCell ref="AF7:AF8"/>
    <mergeCell ref="AF16:AF17"/>
    <mergeCell ref="AF18:AF19"/>
    <mergeCell ref="AF20:AF21"/>
    <mergeCell ref="AE7:AE8"/>
    <mergeCell ref="AE16:AE17"/>
    <mergeCell ref="AE18:AE19"/>
    <mergeCell ref="AD16:AD17"/>
    <mergeCell ref="AF22:AF23"/>
    <mergeCell ref="AF24:AF25"/>
    <mergeCell ref="AD20:AD21"/>
    <mergeCell ref="AC22:AC23"/>
    <mergeCell ref="AD22:AD23"/>
    <mergeCell ref="AC24:AC25"/>
    <mergeCell ref="AD24:AD25"/>
    <mergeCell ref="AE20:AE21"/>
    <mergeCell ref="AE24:AE25"/>
    <mergeCell ref="AE22:AE23"/>
    <mergeCell ref="AC18:AC19"/>
    <mergeCell ref="AI7:AI8"/>
    <mergeCell ref="AJ7:AJ8"/>
    <mergeCell ref="AG20:AG21"/>
    <mergeCell ref="AH20:AH21"/>
    <mergeCell ref="AG22:AG23"/>
    <mergeCell ref="AG24:AG25"/>
    <mergeCell ref="AH24:AH25"/>
    <mergeCell ref="AG7:AG8"/>
    <mergeCell ref="AH7:AH8"/>
    <mergeCell ref="AG16:AG17"/>
    <mergeCell ref="AH16:AH17"/>
    <mergeCell ref="AG18:AG19"/>
    <mergeCell ref="AH18:AH19"/>
    <mergeCell ref="AH22:AH23"/>
    <mergeCell ref="AJ24:AJ25"/>
    <mergeCell ref="AR16:AR17"/>
    <mergeCell ref="AR18:AR19"/>
    <mergeCell ref="AK26:AK27"/>
    <mergeCell ref="AI20:AI21"/>
    <mergeCell ref="AJ20:AJ21"/>
    <mergeCell ref="AK20:AK21"/>
    <mergeCell ref="AI22:AI23"/>
    <mergeCell ref="AJ22:AJ23"/>
    <mergeCell ref="AK22:AK23"/>
    <mergeCell ref="AN16:AN17"/>
    <mergeCell ref="AQ18:AQ19"/>
    <mergeCell ref="AQ16:AQ17"/>
    <mergeCell ref="AR22:AR23"/>
    <mergeCell ref="AO16:AO17"/>
    <mergeCell ref="AL26:AL27"/>
    <mergeCell ref="AM26:AM27"/>
    <mergeCell ref="AN26:AN27"/>
    <mergeCell ref="AO26:AO27"/>
    <mergeCell ref="AO24:AO25"/>
    <mergeCell ref="AL22:AL23"/>
    <mergeCell ref="AM22:AM23"/>
    <mergeCell ref="AN22:AN23"/>
    <mergeCell ref="AO22:AO23"/>
    <mergeCell ref="AM24:AM25"/>
    <mergeCell ref="AR7:AR8"/>
    <mergeCell ref="AL16:AL17"/>
    <mergeCell ref="AM16:AM17"/>
    <mergeCell ref="AP7:AP8"/>
    <mergeCell ref="AO18:AO21"/>
    <mergeCell ref="AN13:AN15"/>
    <mergeCell ref="AO13:AO15"/>
    <mergeCell ref="AO9:AO10"/>
    <mergeCell ref="Q28:Q29"/>
    <mergeCell ref="AL7:AL8"/>
    <mergeCell ref="AM7:AM8"/>
    <mergeCell ref="AN7:AN8"/>
    <mergeCell ref="AO7:AO8"/>
    <mergeCell ref="AN9:AN10"/>
    <mergeCell ref="AN11:AN12"/>
    <mergeCell ref="AO11:AO12"/>
    <mergeCell ref="AL18:AL19"/>
    <mergeCell ref="AM18:AM19"/>
    <mergeCell ref="U28:U29"/>
    <mergeCell ref="V28:V29"/>
    <mergeCell ref="X28:X29"/>
    <mergeCell ref="Y28:Y29"/>
    <mergeCell ref="Z28:Z29"/>
    <mergeCell ref="AR20:AR21"/>
    <mergeCell ref="AQ7:AQ8"/>
    <mergeCell ref="AP24:AP25"/>
    <mergeCell ref="AQ20:AQ21"/>
    <mergeCell ref="AP16:AP17"/>
    <mergeCell ref="W28:W29"/>
    <mergeCell ref="AP18:AP19"/>
    <mergeCell ref="S28:S29"/>
    <mergeCell ref="T28:T29"/>
    <mergeCell ref="AP20:AP21"/>
    <mergeCell ref="AP22:AP23"/>
    <mergeCell ref="AQ22:AQ23"/>
    <mergeCell ref="AB28:AB29"/>
    <mergeCell ref="AL20:AL21"/>
    <mergeCell ref="AM20:AM21"/>
    <mergeCell ref="AN18:AN21"/>
    <mergeCell ref="AL24:AL25"/>
    <mergeCell ref="AN24:AN25"/>
    <mergeCell ref="AK7:AK8"/>
    <mergeCell ref="AI16:AI17"/>
    <mergeCell ref="AJ16:AJ17"/>
    <mergeCell ref="AK16:AK17"/>
    <mergeCell ref="AI18:AI19"/>
    <mergeCell ref="AJ18:AJ19"/>
    <mergeCell ref="AK18:AK19"/>
    <mergeCell ref="AR24:AR25"/>
    <mergeCell ref="AP26:AP27"/>
    <mergeCell ref="AR26:AR27"/>
    <mergeCell ref="AQ26:AQ27"/>
    <mergeCell ref="AQ24:AQ25"/>
    <mergeCell ref="AA28:AA29"/>
    <mergeCell ref="J28:J29"/>
    <mergeCell ref="L28:L29"/>
    <mergeCell ref="M28:M29"/>
    <mergeCell ref="N28:N29"/>
    <mergeCell ref="O28:O29"/>
    <mergeCell ref="P28:P29"/>
    <mergeCell ref="K28:K29"/>
    <mergeCell ref="R28:R29"/>
    <mergeCell ref="AI24:AI25"/>
    <mergeCell ref="AI26:AI27"/>
    <mergeCell ref="AJ26:AJ27"/>
    <mergeCell ref="AF26:AF27"/>
    <mergeCell ref="AC26:AC27"/>
    <mergeCell ref="AD26:AD27"/>
    <mergeCell ref="AE26:AE27"/>
    <mergeCell ref="AK24:AK25"/>
    <mergeCell ref="AB26:AB27"/>
    <mergeCell ref="W26:W27"/>
    <mergeCell ref="A28:A29"/>
    <mergeCell ref="B28:B29"/>
    <mergeCell ref="C28:C29"/>
    <mergeCell ref="D28:D29"/>
    <mergeCell ref="E28:E29"/>
    <mergeCell ref="F28:F29"/>
    <mergeCell ref="G28:G29"/>
    <mergeCell ref="H28:H29"/>
    <mergeCell ref="I28:I29"/>
  </mergeCells>
  <conditionalFormatting sqref="V4 V7 V9 V11 V13 V16 V18 V22 V24 V26">
    <cfRule type="expression" dxfId="166" priority="78" stopIfTrue="1">
      <formula>NOT(ISERROR(SEARCH("Muy alta",V4)))</formula>
    </cfRule>
    <cfRule type="expression" dxfId="165" priority="79" stopIfTrue="1">
      <formula>NOT(ISERROR(SEARCH("Alta",V4)))</formula>
    </cfRule>
    <cfRule type="expression" dxfId="164" priority="80" stopIfTrue="1">
      <formula>NOT(ISERROR(SEARCH("Media",V4)))</formula>
    </cfRule>
  </conditionalFormatting>
  <conditionalFormatting sqref="V28">
    <cfRule type="expression" dxfId="163" priority="81" stopIfTrue="1">
      <formula>NOT(ISERROR(SEARCH("Muy alta",V28)))</formula>
    </cfRule>
    <cfRule type="expression" dxfId="162" priority="82" stopIfTrue="1">
      <formula>NOT(ISERROR(SEARCH("Alta",V28)))</formula>
    </cfRule>
    <cfRule type="expression" dxfId="161" priority="83" stopIfTrue="1">
      <formula>NOT(ISERROR(SEARCH("Media",V28)))</formula>
    </cfRule>
  </conditionalFormatting>
  <conditionalFormatting sqref="X4 X7 X9 X11 X13 X16 X18 X22 X24 X26">
    <cfRule type="containsText" dxfId="160" priority="53" operator="containsText" text="Catastrófico">
      <formula>NOT(ISERROR(SEARCH("Catastrófico",X4)))</formula>
    </cfRule>
    <cfRule type="containsText" dxfId="159" priority="54" operator="containsText" text="Mayor">
      <formula>NOT(ISERROR(SEARCH("Mayor",X4)))</formula>
    </cfRule>
    <cfRule type="containsText" dxfId="158" priority="55" operator="containsText" text="Moderado">
      <formula>NOT(ISERROR(SEARCH("Moderado",X4)))</formula>
    </cfRule>
    <cfRule type="containsText" dxfId="157" priority="56" operator="containsText" text="Menor">
      <formula>NOT(ISERROR(SEARCH("Menor",X4)))</formula>
    </cfRule>
    <cfRule type="containsText" dxfId="156" priority="57" operator="containsText" text="Leve">
      <formula>NOT(ISERROR(SEARCH("Leve",X4)))</formula>
    </cfRule>
  </conditionalFormatting>
  <conditionalFormatting sqref="X28">
    <cfRule type="containsText" dxfId="155" priority="17" operator="containsText" text="Catastrófico">
      <formula>NOT(ISERROR(SEARCH("Catastrófico",X28)))</formula>
    </cfRule>
    <cfRule type="containsText" dxfId="154" priority="18" operator="containsText" text="Mayor">
      <formula>NOT(ISERROR(SEARCH("Mayor",X28)))</formula>
    </cfRule>
    <cfRule type="containsText" dxfId="153" priority="19" operator="containsText" text="Moderado">
      <formula>NOT(ISERROR(SEARCH("Moderado",X28)))</formula>
    </cfRule>
    <cfRule type="containsText" dxfId="152" priority="20" operator="containsText" text="Menor">
      <formula>NOT(ISERROR(SEARCH("Menor",X28)))</formula>
    </cfRule>
    <cfRule type="containsText" dxfId="151" priority="21" operator="containsText" text="Leve">
      <formula>NOT(ISERROR(SEARCH("Leve",X28)))</formula>
    </cfRule>
  </conditionalFormatting>
  <conditionalFormatting sqref="Z4 Z7 Z9 Z11 Z13 Z16 Z18 Z22 Z24 Z26">
    <cfRule type="containsText" dxfId="150" priority="49" operator="containsText" text="Alto">
      <formula>NOT(ISERROR(SEARCH("Alto",Z4)))</formula>
    </cfRule>
    <cfRule type="containsText" dxfId="149" priority="50" operator="containsText" text="Moderado">
      <formula>NOT(ISERROR(SEARCH("Moderado",Z4)))</formula>
    </cfRule>
    <cfRule type="containsText" dxfId="148" priority="51" operator="containsText" text="Extremo">
      <formula>NOT(ISERROR(SEARCH("Extremo",Z4)))</formula>
    </cfRule>
    <cfRule type="containsText" dxfId="147" priority="52" operator="containsText" text="Bajo">
      <formula>NOT(ISERROR(SEARCH("Bajo",Z4)))</formula>
    </cfRule>
  </conditionalFormatting>
  <conditionalFormatting sqref="Z28">
    <cfRule type="containsText" dxfId="146" priority="13" operator="containsText" text="Alto">
      <formula>NOT(ISERROR(SEARCH("Alto",Z28)))</formula>
    </cfRule>
    <cfRule type="containsText" dxfId="145" priority="14" operator="containsText" text="Moderado">
      <formula>NOT(ISERROR(SEARCH("Moderado",Z28)))</formula>
    </cfRule>
    <cfRule type="containsText" dxfId="144" priority="15" operator="containsText" text="Extremo">
      <formula>NOT(ISERROR(SEARCH("Extremo",Z28)))</formula>
    </cfRule>
    <cfRule type="containsText" dxfId="143" priority="16" operator="containsText" text="Bajo">
      <formula>NOT(ISERROR(SEARCH("Bajo",Z28)))</formula>
    </cfRule>
  </conditionalFormatting>
  <conditionalFormatting sqref="AI4:AI7">
    <cfRule type="containsText" dxfId="142" priority="72" operator="containsText" text="BAJA">
      <formula>NOT(ISERROR(SEARCH("BAJA",AI4)))</formula>
    </cfRule>
    <cfRule type="containsText" dxfId="141" priority="73" operator="containsText" text="MEDIA">
      <formula>NOT(ISERROR(SEARCH("MEDIA",AI4)))</formula>
    </cfRule>
    <cfRule type="containsText" dxfId="140" priority="74" operator="containsText" text="ALTA">
      <formula>NOT(ISERROR(SEARCH("ALTA",AI4)))</formula>
    </cfRule>
  </conditionalFormatting>
  <conditionalFormatting sqref="AI9:AI10">
    <cfRule type="containsText" dxfId="139" priority="66" operator="containsText" text="BAJA">
      <formula>NOT(ISERROR(SEARCH("BAJA",AI9)))</formula>
    </cfRule>
    <cfRule type="containsText" dxfId="138" priority="67" operator="containsText" text="MEDIA">
      <formula>NOT(ISERROR(SEARCH("MEDIA",AI9)))</formula>
    </cfRule>
    <cfRule type="containsText" dxfId="137" priority="68" operator="containsText" text="ALTA">
      <formula>NOT(ISERROR(SEARCH("ALTA",AI9)))</formula>
    </cfRule>
  </conditionalFormatting>
  <conditionalFormatting sqref="AI8:AK8">
    <cfRule type="containsText" dxfId="136" priority="69" operator="containsText" text="BAJA">
      <formula>NOT(ISERROR(SEARCH("BAJA",AI8)))</formula>
    </cfRule>
    <cfRule type="containsText" dxfId="135" priority="70" operator="containsText" text="MEDIA">
      <formula>NOT(ISERROR(SEARCH("MEDIA",AI8)))</formula>
    </cfRule>
    <cfRule type="containsText" dxfId="134" priority="71" operator="containsText" text="ALTA">
      <formula>NOT(ISERROR(SEARCH("ALTA",AI8)))</formula>
    </cfRule>
  </conditionalFormatting>
  <conditionalFormatting sqref="AK4:AK7">
    <cfRule type="containsText" dxfId="133" priority="75" operator="containsText" text="BAJA">
      <formula>NOT(ISERROR(SEARCH("BAJA",AK4)))</formula>
    </cfRule>
    <cfRule type="containsText" dxfId="132" priority="76" operator="containsText" text="MEDIA">
      <formula>NOT(ISERROR(SEARCH("MEDIA",AK4)))</formula>
    </cfRule>
    <cfRule type="containsText" dxfId="131" priority="77" operator="containsText" text="ALTA">
      <formula>NOT(ISERROR(SEARCH("ALTA",AK4)))</formula>
    </cfRule>
  </conditionalFormatting>
  <dataValidations count="3">
    <dataValidation type="list" allowBlank="1" showInputMessage="1" showErrorMessage="1" sqref="A4:A29">
      <formula1>"SI,NO"</formula1>
    </dataValidation>
    <dataValidation type="list" allowBlank="1" showInputMessage="1" showErrorMessage="1" sqref="AF4:AF29">
      <formula1>"Manual,Automático"</formula1>
    </dataValidation>
    <dataValidation type="list" allowBlank="1" showInputMessage="1" showErrorMessage="1" sqref="AI4:AI29">
      <formula1>"Confiable,No confiable"</formula1>
    </dataValidation>
  </dataValidation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0"/>
  <sheetViews>
    <sheetView topLeftCell="Y1" zoomScale="66" zoomScaleNormal="66" workbookViewId="0">
      <selection activeCell="AC5" sqref="AC5"/>
    </sheetView>
  </sheetViews>
  <sheetFormatPr baseColWidth="10" defaultColWidth="17.28515625" defaultRowHeight="15"/>
  <cols>
    <col min="1" max="1" width="14.140625" style="81" customWidth="1"/>
    <col min="2" max="2" width="14" style="63" customWidth="1"/>
    <col min="3" max="3" width="17.28515625" style="63" customWidth="1"/>
    <col min="4" max="4" width="19.42578125" style="63" customWidth="1"/>
    <col min="5" max="5" width="19.5703125" style="63" customWidth="1"/>
    <col min="6" max="6" width="59.7109375" style="53" customWidth="1"/>
    <col min="7" max="7" width="9.7109375" style="53" customWidth="1"/>
    <col min="8" max="8" width="94" style="53" customWidth="1"/>
    <col min="9" max="9" width="44.28515625" style="53" customWidth="1"/>
    <col min="10" max="10" width="14.7109375" style="53" bestFit="1" customWidth="1"/>
    <col min="11" max="11" width="16.7109375" style="53" customWidth="1"/>
    <col min="12" max="12" width="19.28515625" style="53" customWidth="1"/>
    <col min="13" max="13" width="46.140625" style="53" customWidth="1"/>
    <col min="14" max="14" width="19.28515625" style="53" customWidth="1"/>
    <col min="15" max="15" width="45.28515625" style="53" customWidth="1"/>
    <col min="16" max="16" width="17.7109375" style="53" customWidth="1"/>
    <col min="17" max="17" width="32.42578125" style="53" customWidth="1"/>
    <col min="18" max="18" width="17.140625" style="53" customWidth="1"/>
    <col min="19" max="21" width="21.85546875" style="53" customWidth="1"/>
    <col min="22" max="22" width="15" style="53" customWidth="1"/>
    <col min="23" max="23" width="12.28515625" style="64" customWidth="1"/>
    <col min="24" max="24" width="17.7109375" style="53" customWidth="1"/>
    <col min="25" max="25" width="14.7109375" style="64" customWidth="1"/>
    <col min="26" max="26" width="16.85546875" style="53" bestFit="1" customWidth="1"/>
    <col min="27" max="27" width="7.85546875" style="53" customWidth="1"/>
    <col min="28" max="28" width="28.140625" style="53" customWidth="1"/>
    <col min="29" max="29" width="73.28515625" style="53" customWidth="1"/>
    <col min="30" max="30" width="10" style="53" bestFit="1" customWidth="1"/>
    <col min="31" max="31" width="8.42578125" style="64" customWidth="1"/>
    <col min="32" max="32" width="20.28515625" style="64" customWidth="1"/>
    <col min="33" max="33" width="9" style="64" customWidth="1"/>
    <col min="34" max="34" width="14.140625" style="64" customWidth="1"/>
    <col min="35" max="35" width="16.42578125" style="53" customWidth="1"/>
    <col min="36" max="36" width="14.7109375" style="63" customWidth="1"/>
    <col min="37" max="37" width="36.5703125" style="53" customWidth="1"/>
    <col min="38" max="38" width="13.7109375" style="53" customWidth="1"/>
    <col min="39" max="39" width="13.7109375" style="65" customWidth="1"/>
    <col min="40" max="40" width="13.7109375" style="53" customWidth="1"/>
    <col min="41" max="41" width="15.28515625" style="53" customWidth="1"/>
    <col min="42" max="42" width="2.28515625" style="66" customWidth="1"/>
    <col min="43" max="43" width="49.28515625" style="66" customWidth="1"/>
    <col min="44" max="44" width="17" style="63" customWidth="1"/>
    <col min="45" max="46" width="11.5703125" style="82" customWidth="1"/>
    <col min="47" max="47" width="21.85546875" style="53" customWidth="1"/>
    <col min="48" max="57" width="18.140625" style="81" customWidth="1"/>
    <col min="58" max="216" width="11.42578125" style="81" customWidth="1"/>
    <col min="217" max="217" width="21.85546875" style="81" customWidth="1"/>
    <col min="218" max="218" width="13.85546875" style="81" customWidth="1"/>
    <col min="219" max="219" width="38.7109375" style="81" customWidth="1"/>
    <col min="220" max="220" width="3" style="81" bestFit="1" customWidth="1"/>
    <col min="221" max="221" width="32.28515625" style="81" customWidth="1"/>
    <col min="222" max="222" width="46.28515625" style="81" customWidth="1"/>
    <col min="223" max="223" width="19" style="81" customWidth="1"/>
    <col min="224" max="224" width="11.42578125" style="81" customWidth="1"/>
    <col min="225" max="225" width="17.7109375" style="81" customWidth="1"/>
    <col min="226" max="226" width="11.42578125" style="81" customWidth="1"/>
    <col min="227" max="227" width="22.28515625" style="81" customWidth="1"/>
    <col min="228" max="228" width="5.28515625" style="81" customWidth="1"/>
    <col min="229" max="229" width="36.28515625" style="81" customWidth="1"/>
    <col min="230" max="230" width="5.7109375" style="81" customWidth="1"/>
    <col min="231" max="231" width="11.42578125" style="81" customWidth="1"/>
    <col min="232" max="232" width="20.7109375" style="81" customWidth="1"/>
    <col min="233" max="233" width="4.85546875" style="81" customWidth="1"/>
    <col min="234" max="234" width="11.42578125" style="81" customWidth="1"/>
    <col min="235" max="235" width="24.7109375" style="81" customWidth="1"/>
    <col min="236" max="236" width="12.28515625" style="81" customWidth="1"/>
    <col min="237" max="237" width="11.42578125" style="81" customWidth="1"/>
    <col min="238" max="238" width="3.42578125" style="81" customWidth="1"/>
    <col min="239" max="239" width="11.42578125" style="81" customWidth="1"/>
    <col min="240" max="240" width="17.7109375" style="81" customWidth="1"/>
    <col min="241" max="241" width="3.42578125" style="81" customWidth="1"/>
    <col min="242" max="242" width="11.42578125" style="81" customWidth="1"/>
    <col min="243" max="243" width="23.7109375" style="81" customWidth="1"/>
    <col min="244" max="244" width="10" style="81" customWidth="1"/>
    <col min="245" max="245" width="11.42578125" style="81" customWidth="1"/>
    <col min="246" max="247" width="14.7109375" style="81" customWidth="1"/>
    <col min="248" max="248" width="12.85546875" style="81" customWidth="1"/>
    <col min="249" max="249" width="3.28515625" style="81" customWidth="1"/>
    <col min="250" max="250" width="30.28515625" style="81" customWidth="1"/>
    <col min="251" max="251" width="5" style="81" customWidth="1"/>
    <col min="252" max="252" width="11.42578125" style="81" customWidth="1"/>
    <col min="253" max="253" width="14.28515625" style="81" customWidth="1"/>
    <col min="254" max="254" width="5.7109375" style="81" customWidth="1"/>
    <col min="255" max="255" width="11.42578125" style="81" customWidth="1"/>
    <col min="256" max="16384" width="17.28515625" style="81"/>
  </cols>
  <sheetData>
    <row r="1" spans="1:59" ht="58.9"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39.6"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s="46" customFormat="1" ht="135.6" customHeight="1" thickBot="1">
      <c r="A3" s="611" t="s">
        <v>199</v>
      </c>
      <c r="B3" s="611" t="s">
        <v>144</v>
      </c>
      <c r="C3" s="611" t="s">
        <v>6</v>
      </c>
      <c r="D3" s="611" t="s">
        <v>1</v>
      </c>
      <c r="E3" s="611" t="s">
        <v>2</v>
      </c>
      <c r="F3" s="611"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s="63" customFormat="1" ht="82.15" customHeight="1">
      <c r="A4" s="1152" t="s">
        <v>51</v>
      </c>
      <c r="B4" s="967" t="s">
        <v>104</v>
      </c>
      <c r="C4" s="967" t="s">
        <v>92</v>
      </c>
      <c r="D4" s="967" t="s">
        <v>12</v>
      </c>
      <c r="E4" s="967" t="s">
        <v>36</v>
      </c>
      <c r="F4" s="967" t="s">
        <v>1035</v>
      </c>
      <c r="G4" s="975" t="s">
        <v>1036</v>
      </c>
      <c r="H4" s="967" t="s">
        <v>1037</v>
      </c>
      <c r="I4" s="967" t="s">
        <v>1038</v>
      </c>
      <c r="J4" s="967" t="s">
        <v>33</v>
      </c>
      <c r="K4" s="967">
        <v>72</v>
      </c>
      <c r="L4" s="1151">
        <f>IF(J4="Diaria",+(K4/360),IF(J4="Semanal",+(K4/52),IF(J4="Mensual",+(K4/12),IF(J4="Bimestral",+(K4/6),IF(J4="Trimestral",+(K4/4),IF(J4="Semestral",+(K4/2),IF(J4="Anual",+(K4/1),"")))))))</f>
        <v>0.2</v>
      </c>
      <c r="M4" s="967" t="s">
        <v>73</v>
      </c>
      <c r="N4" s="1151">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v>
      </c>
      <c r="O4" s="967" t="s">
        <v>64</v>
      </c>
      <c r="P4" s="1151">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0.6</v>
      </c>
      <c r="Q4" s="967" t="s">
        <v>73</v>
      </c>
      <c r="R4" s="1151">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1062" t="s">
        <v>72</v>
      </c>
      <c r="T4" s="1062" t="s">
        <v>45</v>
      </c>
      <c r="U4" s="1151">
        <f>+MAX(N4,P4,R4)</f>
        <v>0.6</v>
      </c>
      <c r="V4" s="912" t="str">
        <f>IF(L4&lt;=20%,"Muy baja",IF(L4&lt;=40%,"Baja",IF(L4&lt;=60%,"Media",IF(L4&lt;=80%,"Alta",IF(L4&lt;=100%,"Muy alta",IF(L4&gt;=100%,"Muy alta",""))))))</f>
        <v>Muy baja</v>
      </c>
      <c r="W4" s="1151">
        <f>+IFERROR(VLOOKUP(V4,formulas!$F$1:$G$6,2,FALSE),"")</f>
        <v>0.2</v>
      </c>
      <c r="X4" s="911" t="str">
        <f>IF(U4=20%,"Leve",IF(U4=40%,"Menor",IF(U4=60%,"Moderado",IF(U4=80%,"Mayor",IF(U4=100%,"Catastrófico","")))))</f>
        <v>Moderado</v>
      </c>
      <c r="Y4" s="1151">
        <f>+IFERROR(VLOOKUP(X4,formulas!$H$1:$I$6,2,FALSE),"")</f>
        <v>0.6</v>
      </c>
      <c r="Z4" s="911" t="str">
        <f>+IFERROR(VLOOKUP(V4&amp;X4,formulas!$C$2:$D$26,2,FALSE),"")</f>
        <v>Moderado</v>
      </c>
      <c r="AA4" s="1151">
        <f>IF(Z4="Bajo",25%,IF(Z4="Moderado",50%,IF(Z4="Alto",75%,IF(Z4="Extremo",100%,""))))</f>
        <v>0.5</v>
      </c>
      <c r="AB4" s="1155" t="s">
        <v>1039</v>
      </c>
      <c r="AC4" s="600" t="s">
        <v>1040</v>
      </c>
      <c r="AD4" s="80" t="s">
        <v>39</v>
      </c>
      <c r="AE4" s="656">
        <f t="shared" ref="AE4:AE10" si="0">IF(AD4="Preventivo",25%,IF(AD4="Detectivo",15%,IF(AD4="Correctivo",10%,"")))</f>
        <v>0.15</v>
      </c>
      <c r="AF4" s="678" t="s">
        <v>229</v>
      </c>
      <c r="AG4" s="656">
        <f>IF(AF4="Manual",15%,IF(AF4="Automático",25%,""))</f>
        <v>0.15</v>
      </c>
      <c r="AH4" s="656">
        <f t="shared" ref="AH4:AH10" si="1">+AG4+AE4</f>
        <v>0.3</v>
      </c>
      <c r="AI4" s="678" t="s">
        <v>230</v>
      </c>
      <c r="AJ4" s="677" t="s">
        <v>24</v>
      </c>
      <c r="AK4" s="678" t="s">
        <v>1041</v>
      </c>
      <c r="AL4" s="647">
        <f>+AA4*AH4</f>
        <v>0.15</v>
      </c>
      <c r="AM4" s="647">
        <f>+AA4-AL4</f>
        <v>0.35</v>
      </c>
      <c r="AN4" s="911" t="str">
        <f>+IF(C4="Corrupción","Moderado",IF(AM5&lt;=25%,"Bajo",IF(AM5&lt;=50%,"Moderado",IF(AM5&lt;=75%,"Alto",IF(AM5&gt;75%,"Extremo","")))))</f>
        <v>Bajo</v>
      </c>
      <c r="AO4" s="1156" t="s">
        <v>59</v>
      </c>
      <c r="AP4" s="50">
        <v>1</v>
      </c>
      <c r="AQ4" s="58" t="s">
        <v>1042</v>
      </c>
      <c r="AR4" s="364" t="s">
        <v>1043</v>
      </c>
      <c r="AS4" s="525"/>
      <c r="AT4" s="442" t="s">
        <v>51</v>
      </c>
      <c r="AU4" s="443" t="s">
        <v>1044</v>
      </c>
      <c r="AV4" s="613"/>
      <c r="AW4" s="613"/>
      <c r="AX4" s="613"/>
      <c r="AY4" s="613"/>
      <c r="AZ4" s="613"/>
      <c r="BA4" s="613"/>
      <c r="BB4" s="613"/>
      <c r="BC4" s="613"/>
      <c r="BD4" s="613"/>
      <c r="BE4" s="613"/>
      <c r="BF4" s="640"/>
      <c r="BG4" s="640"/>
    </row>
    <row r="5" spans="1:59" s="63" customFormat="1" ht="82.15" customHeight="1" thickBot="1">
      <c r="A5" s="1153"/>
      <c r="B5" s="969"/>
      <c r="C5" s="969"/>
      <c r="D5" s="969"/>
      <c r="E5" s="969"/>
      <c r="F5" s="969"/>
      <c r="G5" s="977"/>
      <c r="H5" s="969"/>
      <c r="I5" s="969"/>
      <c r="J5" s="969"/>
      <c r="K5" s="969"/>
      <c r="L5" s="1144"/>
      <c r="M5" s="969"/>
      <c r="N5" s="1144"/>
      <c r="O5" s="969"/>
      <c r="P5" s="1144"/>
      <c r="Q5" s="969"/>
      <c r="R5" s="1144"/>
      <c r="S5" s="1063"/>
      <c r="T5" s="1063"/>
      <c r="U5" s="1144"/>
      <c r="V5" s="913"/>
      <c r="W5" s="1144" t="str">
        <f>+IFERROR(VLOOKUP(V5,formulas!$F$1:$G$6,2,FALSE),"")</f>
        <v/>
      </c>
      <c r="X5" s="822"/>
      <c r="Y5" s="1144" t="str">
        <f>+IFERROR(VLOOKUP(X5,formulas!$H$1:$I$6,2,FALSE),"")</f>
        <v/>
      </c>
      <c r="Z5" s="822"/>
      <c r="AA5" s="1144" t="str">
        <f t="shared" ref="AA5:AA10" si="2">IF(Z5="Bajo",25%,IF(Z5="Moderado",50%,IF(Z5="Alto",75%,IF(Z5="Extremo",100%,""))))</f>
        <v/>
      </c>
      <c r="AB5" s="1146"/>
      <c r="AC5" s="104" t="s">
        <v>1045</v>
      </c>
      <c r="AD5" s="54" t="s">
        <v>57</v>
      </c>
      <c r="AE5" s="657">
        <f t="shared" si="0"/>
        <v>0.25</v>
      </c>
      <c r="AF5" s="680" t="s">
        <v>229</v>
      </c>
      <c r="AG5" s="657">
        <f t="shared" ref="AG5:AG10" si="3">IF(AF5="Manual",15%,IF(AF5="Automático",25%,""))</f>
        <v>0.15</v>
      </c>
      <c r="AH5" s="657">
        <f t="shared" si="1"/>
        <v>0.4</v>
      </c>
      <c r="AI5" s="680" t="s">
        <v>230</v>
      </c>
      <c r="AJ5" s="673" t="s">
        <v>24</v>
      </c>
      <c r="AK5" s="680" t="s">
        <v>1046</v>
      </c>
      <c r="AL5" s="648">
        <f>+AM4*AH5</f>
        <v>0.13999999999999999</v>
      </c>
      <c r="AM5" s="648">
        <f>+AM4-AL5</f>
        <v>0.21</v>
      </c>
      <c r="AN5" s="822"/>
      <c r="AO5" s="1157"/>
      <c r="AP5" s="190">
        <v>2</v>
      </c>
      <c r="AQ5" s="61" t="s">
        <v>1047</v>
      </c>
      <c r="AR5" s="437" t="s">
        <v>1048</v>
      </c>
      <c r="AS5" s="440" t="s">
        <v>1049</v>
      </c>
      <c r="AT5" s="445" t="s">
        <v>51</v>
      </c>
      <c r="AU5" s="446" t="s">
        <v>1044</v>
      </c>
      <c r="AV5" s="638"/>
      <c r="AW5" s="638"/>
      <c r="AX5" s="638"/>
      <c r="AY5" s="638"/>
      <c r="AZ5" s="638"/>
      <c r="BA5" s="638"/>
      <c r="BB5" s="638"/>
      <c r="BC5" s="638"/>
      <c r="BD5" s="638"/>
      <c r="BE5" s="638"/>
      <c r="BF5" s="638"/>
      <c r="BG5" s="638"/>
    </row>
    <row r="6" spans="1:59" s="63" customFormat="1" ht="192" customHeight="1">
      <c r="A6" s="1147" t="s">
        <v>51</v>
      </c>
      <c r="B6" s="980" t="s">
        <v>104</v>
      </c>
      <c r="C6" s="980" t="s">
        <v>92</v>
      </c>
      <c r="D6" s="980" t="s">
        <v>12</v>
      </c>
      <c r="E6" s="980" t="s">
        <v>36</v>
      </c>
      <c r="F6" s="1148" t="s">
        <v>1050</v>
      </c>
      <c r="G6" s="1150" t="s">
        <v>1051</v>
      </c>
      <c r="H6" s="980" t="s">
        <v>1052</v>
      </c>
      <c r="I6" s="980" t="s">
        <v>1053</v>
      </c>
      <c r="J6" s="980" t="s">
        <v>33</v>
      </c>
      <c r="K6" s="980">
        <v>72</v>
      </c>
      <c r="L6" s="1143">
        <f>IF(J6="Diaria",+(K6/360),IF(J6="Semanal",+(K6/52),IF(J6="Mensual",+(K6/12),IF(J6="Bimestral",+(K6/6),IF(J6="Trimestral",+(K6/4),IF(J6="Semestral",+(K6/2),IF(J6="Anual",+(K6/1),"")))))))</f>
        <v>0.2</v>
      </c>
      <c r="M6" s="980" t="s">
        <v>73</v>
      </c>
      <c r="N6" s="1143">
        <f>IF(M6="Menor al 1% del patrimonio de la Lotería de Bogotá",20%,IF(M6="Entre el 1% y el 3% del patrimonio de la Lotería de Bogotá",40%,IF(M6="Entre el 3% y el 6% del patrimonio de la Lotería de Bogotá",60%,IF(M6="Entre el 6% y el 10% del patrimonio de la Lotería de Bogotá",80%,IF(M6="Mayor al 10% del patrimonio de la Lotería de Bogotá",100%,IF(M6="NA",0%,""))))))</f>
        <v>0</v>
      </c>
      <c r="O6" s="980" t="s">
        <v>64</v>
      </c>
      <c r="P6" s="1143">
        <f>IF(O6="El riesgo afecta la imagen de algún área de la organización",20%,IF(O6="El riesgo afecta la imagen de la entidad internamente, de conocimiento general nivel interno, de junta directiva y accionistas y/o de proveedores",40%,IF(O6="El riesgo afecta la imagen de la entidad con algunos usuarios de relevancia frente al logro de los objetivos",60%,IF(O6="El riesgo afecta la imagen de la entidad con efecto publicitario sostenido a nivel de sector administrativo, nivel departamental o municipal",80%,IF(O6="El riesgo afecta la imagen de la entidad a nivel nacional, con efecto publicitario sostenido a nivel país",100%,IF(O6="NA",0%,""))))))</f>
        <v>0.6</v>
      </c>
      <c r="Q6" s="980" t="s">
        <v>73</v>
      </c>
      <c r="R6" s="1143">
        <f>IF(Q6="Interrupción de la operación por menos de un día",20%,IF(Q6="Interrupción de la operación por un día completo",40%,IF(Q6="Interrupción de la operación mayor a 1 día y menor a 2 días",60%,IF(Q6="Interrupción de la operación por dos días completos",80%,IF(Q6="Interrupción de la operación por más de dos días",100%,IF(Q6="NA",0%,""))))))</f>
        <v>0</v>
      </c>
      <c r="S6" s="1154" t="s">
        <v>72</v>
      </c>
      <c r="T6" s="1154" t="s">
        <v>45</v>
      </c>
      <c r="U6" s="1143">
        <f>+MAX(N6,P6,R6)</f>
        <v>0.6</v>
      </c>
      <c r="V6" s="915" t="str">
        <f>IF(L6&lt;=20%,"Muy baja",IF(L6&lt;=40%,"Baja",IF(L6&lt;=60%,"Media",IF(L6&lt;=80%,"Alta",IF(L6&lt;=100%,"Muy alta",IF(L6&gt;=100%,"Muy alta",""))))))</f>
        <v>Muy baja</v>
      </c>
      <c r="W6" s="1143">
        <f>+IFERROR(VLOOKUP(V6,formulas!$F$1:$G$6,2,FALSE),"")</f>
        <v>0.2</v>
      </c>
      <c r="X6" s="821" t="str">
        <f>IF(U6=20%,"Leve",IF(U6=40%,"Menor",IF(U6=60%,"Moderado",IF(U6=80%,"Mayor",IF(U6=100%,"Catastrófico","")))))</f>
        <v>Moderado</v>
      </c>
      <c r="Y6" s="1143">
        <f>+IFERROR(VLOOKUP(X6,formulas!$H$1:$I$6,2,FALSE),"")</f>
        <v>0.6</v>
      </c>
      <c r="Z6" s="821" t="str">
        <f>+IFERROR(VLOOKUP(V6&amp;X6,formulas!$C$2:$D$26,2,FALSE),"")</f>
        <v>Moderado</v>
      </c>
      <c r="AA6" s="1143">
        <f t="shared" si="2"/>
        <v>0.5</v>
      </c>
      <c r="AB6" s="1145" t="s">
        <v>1039</v>
      </c>
      <c r="AC6" s="601" t="s">
        <v>1054</v>
      </c>
      <c r="AD6" s="683" t="s">
        <v>57</v>
      </c>
      <c r="AE6" s="666">
        <f t="shared" si="0"/>
        <v>0.25</v>
      </c>
      <c r="AF6" s="79" t="s">
        <v>229</v>
      </c>
      <c r="AG6" s="666">
        <f t="shared" si="3"/>
        <v>0.15</v>
      </c>
      <c r="AH6" s="666">
        <f t="shared" si="1"/>
        <v>0.4</v>
      </c>
      <c r="AI6" s="79" t="s">
        <v>230</v>
      </c>
      <c r="AJ6" s="683" t="s">
        <v>24</v>
      </c>
      <c r="AK6" s="79" t="s">
        <v>1055</v>
      </c>
      <c r="AL6" s="268">
        <f>+AA6*AH6</f>
        <v>0.2</v>
      </c>
      <c r="AM6" s="268">
        <f>+AA6-AL6</f>
        <v>0.3</v>
      </c>
      <c r="AN6" s="821" t="str">
        <f>+IF(C6="Corrupción","Moderado",IF(AM7&lt;=25%,"Bajo",IF(AM7&lt;=50%,"Moderado",IF(AM7&lt;=75%,"Alto",IF(AM7&gt;75%,"Extremo","")))))</f>
        <v>Bajo</v>
      </c>
      <c r="AO6" s="1142" t="s">
        <v>59</v>
      </c>
      <c r="AP6" s="83">
        <v>3</v>
      </c>
      <c r="AQ6" s="435" t="s">
        <v>1056</v>
      </c>
      <c r="AR6" s="436" t="s">
        <v>1057</v>
      </c>
      <c r="AS6" s="441" t="s">
        <v>1058</v>
      </c>
      <c r="AT6" s="365" t="s">
        <v>51</v>
      </c>
      <c r="AU6" s="444" t="s">
        <v>1044</v>
      </c>
      <c r="AV6" s="723"/>
      <c r="AW6" s="723"/>
      <c r="AX6" s="723"/>
      <c r="AY6" s="723"/>
      <c r="AZ6" s="723"/>
      <c r="BA6" s="723"/>
      <c r="BB6" s="723"/>
      <c r="BC6" s="723"/>
      <c r="BD6" s="723"/>
      <c r="BE6" s="723"/>
      <c r="BF6" s="723"/>
      <c r="BG6" s="723"/>
    </row>
    <row r="7" spans="1:59" s="63" customFormat="1" ht="81.75" customHeight="1" thickBot="1">
      <c r="A7" s="895"/>
      <c r="B7" s="969"/>
      <c r="C7" s="969"/>
      <c r="D7" s="969"/>
      <c r="E7" s="969"/>
      <c r="F7" s="1149"/>
      <c r="G7" s="977"/>
      <c r="H7" s="969"/>
      <c r="I7" s="969"/>
      <c r="J7" s="969"/>
      <c r="K7" s="969"/>
      <c r="L7" s="1144"/>
      <c r="M7" s="969"/>
      <c r="N7" s="1144"/>
      <c r="O7" s="969"/>
      <c r="P7" s="1144"/>
      <c r="Q7" s="969"/>
      <c r="R7" s="1144"/>
      <c r="S7" s="1063"/>
      <c r="T7" s="1063"/>
      <c r="U7" s="1144"/>
      <c r="V7" s="913"/>
      <c r="W7" s="1144" t="str">
        <f>+IFERROR(VLOOKUP(V7,formulas!$F$1:$G$6,2,FALSE),"")</f>
        <v/>
      </c>
      <c r="X7" s="822"/>
      <c r="Y7" s="1144" t="str">
        <f>+IFERROR(VLOOKUP(X7,formulas!$H$1:$I$6,2,FALSE),"")</f>
        <v/>
      </c>
      <c r="Z7" s="822"/>
      <c r="AA7" s="1144" t="str">
        <f t="shared" si="2"/>
        <v/>
      </c>
      <c r="AB7" s="1146"/>
      <c r="AC7" s="602" t="s">
        <v>1059</v>
      </c>
      <c r="AD7" s="54" t="s">
        <v>57</v>
      </c>
      <c r="AE7" s="657">
        <f t="shared" si="0"/>
        <v>0.25</v>
      </c>
      <c r="AF7" s="54" t="s">
        <v>229</v>
      </c>
      <c r="AG7" s="657">
        <f t="shared" si="3"/>
        <v>0.15</v>
      </c>
      <c r="AH7" s="657">
        <f t="shared" si="1"/>
        <v>0.4</v>
      </c>
      <c r="AI7" s="54" t="s">
        <v>230</v>
      </c>
      <c r="AJ7" s="54" t="s">
        <v>41</v>
      </c>
      <c r="AK7" s="54"/>
      <c r="AL7" s="648">
        <f>+AM6*AH7</f>
        <v>0.12</v>
      </c>
      <c r="AM7" s="648">
        <f>+AM6-AL7</f>
        <v>0.18</v>
      </c>
      <c r="AN7" s="822"/>
      <c r="AO7" s="929"/>
      <c r="AP7" s="190">
        <v>4</v>
      </c>
      <c r="AQ7" s="438" t="s">
        <v>1060</v>
      </c>
      <c r="AR7" s="439" t="s">
        <v>419</v>
      </c>
      <c r="AS7" s="440" t="s">
        <v>1061</v>
      </c>
      <c r="AT7" s="445" t="s">
        <v>51</v>
      </c>
      <c r="AU7" s="446" t="s">
        <v>1062</v>
      </c>
      <c r="AV7" s="110"/>
      <c r="AW7" s="110"/>
      <c r="AX7" s="110"/>
      <c r="AY7" s="110"/>
      <c r="AZ7" s="110"/>
      <c r="BA7" s="110"/>
      <c r="BB7" s="110"/>
      <c r="BC7" s="110"/>
      <c r="BD7" s="110"/>
      <c r="BE7" s="110"/>
      <c r="BF7" s="110"/>
      <c r="BG7" s="110"/>
    </row>
    <row r="8" spans="1:59" s="63" customFormat="1" ht="207.75" customHeight="1" thickBot="1">
      <c r="A8" s="123" t="s">
        <v>231</v>
      </c>
      <c r="B8" s="124" t="s">
        <v>104</v>
      </c>
      <c r="C8" s="124" t="s">
        <v>92</v>
      </c>
      <c r="D8" s="124" t="s">
        <v>79</v>
      </c>
      <c r="E8" s="124" t="s">
        <v>36</v>
      </c>
      <c r="F8" s="124" t="s">
        <v>519</v>
      </c>
      <c r="G8" s="124" t="s">
        <v>520</v>
      </c>
      <c r="H8" s="124" t="s">
        <v>521</v>
      </c>
      <c r="I8" s="124" t="s">
        <v>522</v>
      </c>
      <c r="J8" s="124" t="s">
        <v>66</v>
      </c>
      <c r="K8" s="124">
        <v>1</v>
      </c>
      <c r="L8" s="173">
        <f>IF(J8="Diaria",+(K8/360),IF(J8="Semanal",+(K8/52),IF(J8="Mensual",+(K8/12),IF(J8="Bimestral",+(K8/6),IF(J8="Trimestral",+(K8/4),IF(J8="Semestral",+(K8/2),IF(J8="Anual",+(K8/1),"")))))))</f>
        <v>8.3333333333333329E-2</v>
      </c>
      <c r="M8" s="124" t="s">
        <v>30</v>
      </c>
      <c r="N8" s="173">
        <f>IF(M8="Menor al 1% del patrimonio de la Lotería de Bogotá",20%,IF(M8="Entre el 1% y el 3% del patrimonio de la Lotería de Bogotá",40%,IF(M8="Entre el 3% y el 6% del patrimonio de la Lotería de Bogotá",60%,IF(M8="Entre el 6% y el 10% del patrimonio de la Lotería de Bogotá",80%,IF(M8="Mayor al 10% del patrimonio de la Lotería de Bogotá",100%,IF(M8="NA",0%,""))))))</f>
        <v>0.2</v>
      </c>
      <c r="O8" s="124" t="s">
        <v>64</v>
      </c>
      <c r="P8" s="173">
        <f>IF(O8="El riesgo afecta la imagen de algún área de la organización",20%,IF(O8="El riesgo afecta la imagen de la entidad internamente, de conocimiento general nivel interno, de junta directiva y accionistas y/o de proveedores",40%,IF(O8="El riesgo afecta la imagen de la entidad con algunos usuarios de relevancia frente al logro de los objetivos",60%,IF(O8="El riesgo afecta la imagen de la entidad con efecto publicitario sostenido a nivel de sector administrativo, nivel departamental o municipal",80%,IF(O8="El riesgo afecta la imagen de la entidad a nivel nacional, con efecto publicitario sostenido a nivel país",100%,IF(O8="NA",0%,""))))))</f>
        <v>0.6</v>
      </c>
      <c r="Q8" s="124" t="s">
        <v>73</v>
      </c>
      <c r="R8" s="173">
        <f>IF(Q8="Interrupción de la operación por menos de un día",20%,IF(Q8="Interrupción de la operación por un día completo",40%,IF(Q8="Interrupción de la operación mayor a 1 día y menor a 2 días",60%,IF(Q8="Interrupción de la operación por dos días completos",80%,IF(Q8="Interrupción de la operación por más de dos días",100%,IF(Q8="NA",0%,""))))))</f>
        <v>0</v>
      </c>
      <c r="S8" s="127" t="s">
        <v>60</v>
      </c>
      <c r="T8" s="127" t="s">
        <v>45</v>
      </c>
      <c r="U8" s="173">
        <f>+MAX(N8,P8,R8)</f>
        <v>0.6</v>
      </c>
      <c r="V8" s="425" t="str">
        <f>IF(L8&lt;=20%,"Muy baja",IF(L8&lt;=40%,"Baja",IF(L8&lt;=60%,"Media",IF(L8&lt;=80%,"Alta",IF(L8&lt;=100%,"Muy alta",IF(L8&gt;=100%,"Muy alta",""))))))</f>
        <v>Muy baja</v>
      </c>
      <c r="W8" s="173">
        <f>+IFERROR(VLOOKUP(V8,formulas!$F$1:$G$6,2,FALSE),"")</f>
        <v>0.2</v>
      </c>
      <c r="X8" s="351" t="str">
        <f>IF(U8=20%,"Leve",IF(U8=40%,"Menor",IF(U8=60%,"Moderado",IF(U8=80%,"Mayor",IF(U8=100%,"Catastrófico","")))))</f>
        <v>Moderado</v>
      </c>
      <c r="Y8" s="173">
        <f>+IFERROR(VLOOKUP(X8,formulas!$H$1:$I$6,2,FALSE),"")</f>
        <v>0.6</v>
      </c>
      <c r="Z8" s="351" t="str">
        <f>+IFERROR(VLOOKUP(V8&amp;X8,formulas!$C$2:$D$26,2,FALSE),"")</f>
        <v>Moderado</v>
      </c>
      <c r="AA8" s="173">
        <f t="shared" si="2"/>
        <v>0.5</v>
      </c>
      <c r="AB8" s="447" t="s">
        <v>523</v>
      </c>
      <c r="AC8" s="603" t="s">
        <v>693</v>
      </c>
      <c r="AD8" s="86" t="s">
        <v>57</v>
      </c>
      <c r="AE8" s="712">
        <f t="shared" si="0"/>
        <v>0.25</v>
      </c>
      <c r="AF8" s="86" t="s">
        <v>229</v>
      </c>
      <c r="AG8" s="712">
        <f t="shared" si="3"/>
        <v>0.15</v>
      </c>
      <c r="AH8" s="712">
        <f t="shared" si="1"/>
        <v>0.4</v>
      </c>
      <c r="AI8" s="458" t="s">
        <v>230</v>
      </c>
      <c r="AJ8" s="73" t="s">
        <v>24</v>
      </c>
      <c r="AK8" s="111" t="s">
        <v>639</v>
      </c>
      <c r="AL8" s="205">
        <f>+AA8*AH8</f>
        <v>0.2</v>
      </c>
      <c r="AM8" s="205">
        <f>+AA8-AL8</f>
        <v>0.3</v>
      </c>
      <c r="AN8" s="351" t="str">
        <f>+IF(C8="Corrupción","Moderado",IF(AM8&lt;=25%,"Bajo",IF(AM8&lt;=50%,"Moderado",IF(AM8&lt;=75%,"Alto",IF(AM8&gt;75%,"Extremo","")))))</f>
        <v>Moderado</v>
      </c>
      <c r="AO8" s="174" t="s">
        <v>59</v>
      </c>
      <c r="AP8" s="369">
        <v>5</v>
      </c>
      <c r="AQ8" s="137" t="s">
        <v>525</v>
      </c>
      <c r="AR8" s="448" t="s">
        <v>1009</v>
      </c>
      <c r="AS8" s="449" t="s">
        <v>1063</v>
      </c>
      <c r="AT8" s="450" t="s">
        <v>51</v>
      </c>
      <c r="AU8" s="451" t="s">
        <v>1064</v>
      </c>
      <c r="AV8" s="189"/>
      <c r="AW8" s="189"/>
      <c r="AX8" s="189"/>
      <c r="AY8" s="189"/>
      <c r="AZ8" s="189"/>
      <c r="BA8" s="189"/>
      <c r="BB8" s="189"/>
      <c r="BC8" s="189"/>
      <c r="BD8" s="189"/>
      <c r="BE8" s="189"/>
      <c r="BF8" s="189"/>
      <c r="BG8" s="189"/>
    </row>
    <row r="9" spans="1:59" s="63" customFormat="1" ht="241.5" customHeight="1" thickBot="1">
      <c r="A9" s="452" t="s">
        <v>51</v>
      </c>
      <c r="B9" s="124" t="s">
        <v>541</v>
      </c>
      <c r="C9" s="124" t="s">
        <v>58</v>
      </c>
      <c r="D9" s="124" t="s">
        <v>79</v>
      </c>
      <c r="E9" s="124" t="s">
        <v>80</v>
      </c>
      <c r="F9" s="135" t="s">
        <v>542</v>
      </c>
      <c r="G9" s="228" t="s">
        <v>457</v>
      </c>
      <c r="H9" s="124" t="s">
        <v>543</v>
      </c>
      <c r="I9" s="124" t="s">
        <v>544</v>
      </c>
      <c r="J9" s="229" t="s">
        <v>95</v>
      </c>
      <c r="K9" s="135">
        <v>1</v>
      </c>
      <c r="L9" s="173">
        <f>IF(J9="Diaria",+(K9/360),IF(J9="Semanal",+(K9/52),IF(J9="Mensual",+(K9/12),IF(J9="Bimestral",+(K9/6),IF(J9="Trimestral",+(K9/4),IF(J9="Semestral",+(K9/2),IF(J9="Anual",+(K9/1),"")))))))</f>
        <v>0.5</v>
      </c>
      <c r="M9" s="115" t="s">
        <v>47</v>
      </c>
      <c r="N9" s="173">
        <f>IF(M9="Menor al 1% del patrimonio de la Lotería de Bogotá",20%,IF(M9="Entre el 1% y el 3% del patrimonio de la Lotería de Bogotá",40%,IF(M9="Entre el 3% y el 6% del patrimonio de la Lotería de Bogotá",60%,IF(M9="Entre el 6% y el 10% del patrimonio de la Lotería de Bogotá",80%,IF(M9="Mayor al 10% del patrimonio de la Lotería de Bogotá",100%,IF(M9="NA",0%,""))))))</f>
        <v>0.4</v>
      </c>
      <c r="O9" s="118" t="s">
        <v>76</v>
      </c>
      <c r="P9" s="173">
        <f>IF(O9="El riesgo afecta la imagen de algún área de la organización",20%,IF(O9="El riesgo afecta la imagen de la entidad internamente, de conocimiento general nivel interno, de junta directiva y accionistas y/o de proveedores",40%,IF(O9="El riesgo afecta la imagen de la entidad con algunos usuarios de relevancia frente al logro de los objetivos",60%,IF(O9="El riesgo afecta la imagen de la entidad con efecto publicitario sostenido a nivel de sector administrativo, nivel departamental o municipal",80%,IF(O9="El riesgo afecta la imagen de la entidad a nivel nacional, con efecto publicitario sostenido a nivel país",100%,IF(O9="NA",0%,""))))))</f>
        <v>0.8</v>
      </c>
      <c r="Q9" s="115" t="s">
        <v>73</v>
      </c>
      <c r="R9" s="173">
        <f>IF(Q9="Interrupción de la operación por menos de un día",20%,IF(Q9="Interrupción de la operación por un día completo",40%,IF(Q9="Interrupción de la operación mayor a 1 día y menor a 2 días",60%,IF(Q9="Interrupción de la operación por dos días completos",80%,IF(Q9="Interrupción de la operación por más de dos días",100%,IF(Q9="NA",0%,""))))))</f>
        <v>0</v>
      </c>
      <c r="S9" s="119" t="s">
        <v>60</v>
      </c>
      <c r="T9" s="119" t="s">
        <v>73</v>
      </c>
      <c r="U9" s="173">
        <f>+MAX(N9,P9,R9)</f>
        <v>0.8</v>
      </c>
      <c r="V9" s="425" t="str">
        <f>IF(L9&lt;=20%,"Muy baja",IF(L9&lt;=40%,"Baja",IF(L9&lt;=60%,"Media",IF(L9&lt;=80%,"Alta",IF(L9&lt;=100%,"Muy alta",IF(L9&gt;=100%,"Muy alta",""))))))</f>
        <v>Media</v>
      </c>
      <c r="W9" s="173">
        <f>+IFERROR(VLOOKUP(V9,formulas!$F$1:$G$6,2,FALSE),"")</f>
        <v>0.6</v>
      </c>
      <c r="X9" s="351" t="str">
        <f>IF(U9=20%,"Leve",IF(U9=40%,"Menor",IF(U9=60%,"Moderado",IF(U9=80%,"Mayor",IF(U9=100%,"Catastrófico","")))))</f>
        <v>Mayor</v>
      </c>
      <c r="Y9" s="173">
        <f>+IFERROR(VLOOKUP(X9,formulas!$H$1:$I$6,2,FALSE),"")</f>
        <v>0.8</v>
      </c>
      <c r="Z9" s="351" t="str">
        <f>+IFERROR(VLOOKUP(V9&amp;X9,formulas!$C$2:$D$26,2,FALSE),"")</f>
        <v>Alto</v>
      </c>
      <c r="AA9" s="173">
        <f t="shared" si="2"/>
        <v>0.75</v>
      </c>
      <c r="AB9" s="453"/>
      <c r="AC9" s="455" t="s">
        <v>545</v>
      </c>
      <c r="AD9" s="115" t="s">
        <v>57</v>
      </c>
      <c r="AE9" s="173">
        <f t="shared" si="0"/>
        <v>0.25</v>
      </c>
      <c r="AF9" s="115" t="s">
        <v>229</v>
      </c>
      <c r="AG9" s="173">
        <f t="shared" si="3"/>
        <v>0.15</v>
      </c>
      <c r="AH9" s="173">
        <f t="shared" si="1"/>
        <v>0.4</v>
      </c>
      <c r="AI9" s="115" t="s">
        <v>230</v>
      </c>
      <c r="AJ9" s="115" t="s">
        <v>24</v>
      </c>
      <c r="AK9" s="115" t="s">
        <v>546</v>
      </c>
      <c r="AL9" s="205">
        <f>+AA9*AH9</f>
        <v>0.30000000000000004</v>
      </c>
      <c r="AM9" s="205">
        <f>+AA9-AL9</f>
        <v>0.44999999999999996</v>
      </c>
      <c r="AN9" s="351" t="str">
        <f>+IF(C9="Corrupción","Moderado",IF(AM9&lt;=25%,"Bajo",IF(AM9&lt;=50%,"Moderado",IF(AM9&lt;=75%,"Alto",IF(AM9&gt;75%,"Extremo","")))))</f>
        <v>Moderado</v>
      </c>
      <c r="AO9" s="174" t="s">
        <v>59</v>
      </c>
      <c r="AP9" s="369">
        <v>6</v>
      </c>
      <c r="AQ9" s="522"/>
      <c r="AR9" s="526"/>
      <c r="AS9" s="449" t="s">
        <v>1065</v>
      </c>
      <c r="AT9" s="450" t="s">
        <v>51</v>
      </c>
      <c r="AU9" s="451" t="s">
        <v>1044</v>
      </c>
      <c r="AV9" s="189"/>
      <c r="AW9" s="189"/>
      <c r="AX9" s="189"/>
      <c r="AY9" s="189"/>
      <c r="AZ9" s="189"/>
      <c r="BA9" s="189"/>
      <c r="BB9" s="189"/>
      <c r="BC9" s="189"/>
      <c r="BD9" s="189"/>
      <c r="BE9" s="189"/>
      <c r="BF9" s="189"/>
      <c r="BG9" s="189"/>
    </row>
    <row r="10" spans="1:59" s="63" customFormat="1" ht="157.5" customHeight="1" thickBot="1">
      <c r="A10" s="371" t="s">
        <v>231</v>
      </c>
      <c r="B10" s="366" t="s">
        <v>29</v>
      </c>
      <c r="C10" s="366" t="s">
        <v>92</v>
      </c>
      <c r="D10" s="366" t="s">
        <v>79</v>
      </c>
      <c r="E10" s="366" t="s">
        <v>36</v>
      </c>
      <c r="F10" s="366" t="s">
        <v>547</v>
      </c>
      <c r="G10" s="366" t="s">
        <v>548</v>
      </c>
      <c r="H10" s="373" t="s">
        <v>549</v>
      </c>
      <c r="I10" s="366" t="s">
        <v>550</v>
      </c>
      <c r="J10" s="366" t="s">
        <v>66</v>
      </c>
      <c r="K10" s="366">
        <v>1</v>
      </c>
      <c r="L10" s="173">
        <f>IF(J10="Diaria",+(K10/360),IF(J10="Semanal",+(K10/52),IF(J10="Mensual",+(K10/12),IF(J10="Bimestral",+(K10/6),IF(J10="Trimestral",+(K10/4),IF(J10="Semestral",+(K10/2),IF(J10="Anual",+(K10/1),"")))))))</f>
        <v>8.3333333333333329E-2</v>
      </c>
      <c r="M10" s="366" t="s">
        <v>73</v>
      </c>
      <c r="N10" s="173">
        <f>IF(M10="Menor al 1% del patrimonio de la Lotería de Bogotá",20%,IF(M10="Entre el 1% y el 3% del patrimonio de la Lotería de Bogotá",40%,IF(M10="Entre el 3% y el 6% del patrimonio de la Lotería de Bogotá",60%,IF(M10="Entre el 6% y el 10% del patrimonio de la Lotería de Bogotá",80%,IF(M10="Mayor al 10% del patrimonio de la Lotería de Bogotá",100%,IF(M10="NA",0%,""))))))</f>
        <v>0</v>
      </c>
      <c r="O10" s="366" t="s">
        <v>31</v>
      </c>
      <c r="P10" s="173">
        <f>IF(O10="El riesgo afecta la imagen de algún área de la organización",20%,IF(O10="El riesgo afecta la imagen de la entidad internamente, de conocimiento general nivel interno, de junta directiva y accionistas y/o de proveedores",40%,IF(O10="El riesgo afecta la imagen de la entidad con algunos usuarios de relevancia frente al logro de los objetivos",60%,IF(O10="El riesgo afecta la imagen de la entidad con efecto publicitario sostenido a nivel de sector administrativo, nivel departamental o municipal",80%,IF(O10="El riesgo afecta la imagen de la entidad a nivel nacional, con efecto publicitario sostenido a nivel país",100%,IF(O10="NA",0%,""))))))</f>
        <v>0.2</v>
      </c>
      <c r="Q10" s="366" t="s">
        <v>73</v>
      </c>
      <c r="R10" s="173">
        <f>IF(Q10="Interrupción de la operación por menos de un día",20%,IF(Q10="Interrupción de la operación por un día completo",40%,IF(Q10="Interrupción de la operación mayor a 1 día y menor a 2 días",60%,IF(Q10="Interrupción de la operación por dos días completos",80%,IF(Q10="Interrupción de la operación por más de dos días",100%,IF(Q10="NA",0%,""))))))</f>
        <v>0</v>
      </c>
      <c r="S10" s="374" t="s">
        <v>60</v>
      </c>
      <c r="T10" s="374" t="s">
        <v>45</v>
      </c>
      <c r="U10" s="173">
        <f>+MAX(N10,P10,R10)</f>
        <v>0.2</v>
      </c>
      <c r="V10" s="425" t="str">
        <f>IF(L10&lt;=20%,"Muy baja",IF(L10&lt;=40%,"Baja",IF(L10&lt;=60%,"Media",IF(L10&lt;=80%,"Alta",IF(L10&lt;=100%,"Muy alta",IF(L10&gt;=100%,"Muy alta",""))))))</f>
        <v>Muy baja</v>
      </c>
      <c r="W10" s="173">
        <f>+IFERROR(VLOOKUP(V10,formulas!$F$1:$G$6,2,FALSE),"")</f>
        <v>0.2</v>
      </c>
      <c r="X10" s="351" t="str">
        <f>IF(U10=20%,"Leve",IF(U10=40%,"Menor",IF(U10=60%,"Moderado",IF(U10=80%,"Mayor",IF(U10=100%,"Catastrófico","")))))</f>
        <v>Leve</v>
      </c>
      <c r="Y10" s="173">
        <f>+IFERROR(VLOOKUP(X10,formulas!$H$1:$I$6,2,FALSE),"")</f>
        <v>0.2</v>
      </c>
      <c r="Z10" s="351" t="str">
        <f>+IFERROR(VLOOKUP(V10&amp;X10,formulas!$C$2:$D$26,2,FALSE),"")</f>
        <v>Bajo</v>
      </c>
      <c r="AA10" s="173">
        <f t="shared" si="2"/>
        <v>0.25</v>
      </c>
      <c r="AB10" s="454" t="s">
        <v>551</v>
      </c>
      <c r="AC10" s="455" t="s">
        <v>552</v>
      </c>
      <c r="AD10" s="456" t="s">
        <v>57</v>
      </c>
      <c r="AE10" s="173">
        <f t="shared" si="0"/>
        <v>0.25</v>
      </c>
      <c r="AF10" s="372" t="s">
        <v>553</v>
      </c>
      <c r="AG10" s="173">
        <f t="shared" si="3"/>
        <v>0.25</v>
      </c>
      <c r="AH10" s="173">
        <f t="shared" si="1"/>
        <v>0.5</v>
      </c>
      <c r="AI10" s="135" t="s">
        <v>230</v>
      </c>
      <c r="AJ10" s="366" t="s">
        <v>24</v>
      </c>
      <c r="AK10" s="372" t="s">
        <v>554</v>
      </c>
      <c r="AL10" s="205">
        <f>+AA10*AH10</f>
        <v>0.125</v>
      </c>
      <c r="AM10" s="205">
        <f>+AA10-AL10</f>
        <v>0.125</v>
      </c>
      <c r="AN10" s="351" t="str">
        <f>+IF(C10="Corrupción","Moderado",IF(AM10&lt;=25%,"Bajo",IF(AM10&lt;=50%,"Moderado",IF(AM10&lt;=75%,"Alto",IF(AM10&gt;75%,"Extremo","")))))</f>
        <v>Bajo</v>
      </c>
      <c r="AO10" s="174" t="s">
        <v>59</v>
      </c>
      <c r="AP10" s="369">
        <v>7</v>
      </c>
      <c r="AQ10" s="124"/>
      <c r="AR10" s="527"/>
      <c r="AS10" s="449" t="s">
        <v>1066</v>
      </c>
      <c r="AT10" s="450" t="s">
        <v>51</v>
      </c>
      <c r="AU10" s="457" t="s">
        <v>1067</v>
      </c>
      <c r="AV10" s="189"/>
      <c r="AW10" s="189"/>
      <c r="AX10" s="189"/>
      <c r="AY10" s="189"/>
      <c r="AZ10" s="189"/>
      <c r="BA10" s="189"/>
      <c r="BB10" s="189"/>
      <c r="BC10" s="189"/>
      <c r="BD10" s="189"/>
      <c r="BE10" s="189"/>
      <c r="BF10" s="189"/>
      <c r="BG10" s="189"/>
    </row>
  </sheetData>
  <mergeCells count="81">
    <mergeCell ref="AV2:AZ2"/>
    <mergeCell ref="AV1:BE1"/>
    <mergeCell ref="BA2:BE2"/>
    <mergeCell ref="G3:H3"/>
    <mergeCell ref="AJ3:AK3"/>
    <mergeCell ref="AL2:AN3"/>
    <mergeCell ref="AO2:AO3"/>
    <mergeCell ref="AP2:AQ3"/>
    <mergeCell ref="AR2:AR3"/>
    <mergeCell ref="AS2:AS3"/>
    <mergeCell ref="AH2:AH3"/>
    <mergeCell ref="AI2:AK2"/>
    <mergeCell ref="U1:AB2"/>
    <mergeCell ref="AC1:AK1"/>
    <mergeCell ref="AM1:AO1"/>
    <mergeCell ref="AP1:AU1"/>
    <mergeCell ref="AT2:AT3"/>
    <mergeCell ref="AO4:AO5"/>
    <mergeCell ref="H4:H5"/>
    <mergeCell ref="I4:I5"/>
    <mergeCell ref="N4:N5"/>
    <mergeCell ref="O4:O5"/>
    <mergeCell ref="AN4:AN5"/>
    <mergeCell ref="AD2:AG2"/>
    <mergeCell ref="P4:P5"/>
    <mergeCell ref="J4:J5"/>
    <mergeCell ref="K4:K5"/>
    <mergeCell ref="L4:L5"/>
    <mergeCell ref="M4:M5"/>
    <mergeCell ref="AA4:AA5"/>
    <mergeCell ref="AU2:AU3"/>
    <mergeCell ref="AC2:AC3"/>
    <mergeCell ref="S6:S7"/>
    <mergeCell ref="R6:R7"/>
    <mergeCell ref="T6:T7"/>
    <mergeCell ref="AB4:AB5"/>
    <mergeCell ref="S4:S5"/>
    <mergeCell ref="T4:T5"/>
    <mergeCell ref="U4:U5"/>
    <mergeCell ref="V4:V5"/>
    <mergeCell ref="W4:W5"/>
    <mergeCell ref="A1:T2"/>
    <mergeCell ref="A4:A5"/>
    <mergeCell ref="B4:B5"/>
    <mergeCell ref="C4:C5"/>
    <mergeCell ref="D4:D5"/>
    <mergeCell ref="E4:E5"/>
    <mergeCell ref="F4:F5"/>
    <mergeCell ref="G4:G5"/>
    <mergeCell ref="X4:X5"/>
    <mergeCell ref="Y4:Y5"/>
    <mergeCell ref="Z4:Z5"/>
    <mergeCell ref="R4:R5"/>
    <mergeCell ref="Q4:Q5"/>
    <mergeCell ref="F6:F7"/>
    <mergeCell ref="G6:G7"/>
    <mergeCell ref="H6:H7"/>
    <mergeCell ref="I6:I7"/>
    <mergeCell ref="J6:J7"/>
    <mergeCell ref="K6:K7"/>
    <mergeCell ref="Y6:Y7"/>
    <mergeCell ref="M6:M7"/>
    <mergeCell ref="N6:N7"/>
    <mergeCell ref="O6:O7"/>
    <mergeCell ref="P6:P7"/>
    <mergeCell ref="L6:L7"/>
    <mergeCell ref="Q6:Q7"/>
    <mergeCell ref="A6:A7"/>
    <mergeCell ref="B6:B7"/>
    <mergeCell ref="C6:C7"/>
    <mergeCell ref="D6:D7"/>
    <mergeCell ref="E6:E7"/>
    <mergeCell ref="AO6:AO7"/>
    <mergeCell ref="AN6:AN7"/>
    <mergeCell ref="U6:U7"/>
    <mergeCell ref="V6:V7"/>
    <mergeCell ref="W6:W7"/>
    <mergeCell ref="X6:X7"/>
    <mergeCell ref="Z6:Z7"/>
    <mergeCell ref="AA6:AA7"/>
    <mergeCell ref="AB6:AB7"/>
  </mergeCells>
  <conditionalFormatting sqref="V4 V6 V8:V10">
    <cfRule type="expression" dxfId="130" priority="31" stopIfTrue="1">
      <formula>NOT(ISERROR(SEARCH("Muy alta",V4)))</formula>
    </cfRule>
    <cfRule type="expression" dxfId="129" priority="32" stopIfTrue="1">
      <formula>NOT(ISERROR(SEARCH("Alta",V4)))</formula>
    </cfRule>
    <cfRule type="expression" dxfId="128" priority="33" stopIfTrue="1">
      <formula>NOT(ISERROR(SEARCH("Media",V4)))</formula>
    </cfRule>
  </conditionalFormatting>
  <conditionalFormatting sqref="X4 X6 X8:X10">
    <cfRule type="containsText" dxfId="127" priority="9" operator="containsText" text="Catastrófico">
      <formula>NOT(ISERROR(SEARCH("Catastrófico",X4)))</formula>
    </cfRule>
    <cfRule type="containsText" dxfId="126" priority="10" operator="containsText" text="Mayor">
      <formula>NOT(ISERROR(SEARCH("Mayor",X4)))</formula>
    </cfRule>
    <cfRule type="containsText" dxfId="125" priority="11" operator="containsText" text="Moderado">
      <formula>NOT(ISERROR(SEARCH("Moderado",X4)))</formula>
    </cfRule>
    <cfRule type="containsText" dxfId="124" priority="12" operator="containsText" text="Menor">
      <formula>NOT(ISERROR(SEARCH("Menor",X4)))</formula>
    </cfRule>
    <cfRule type="containsText" dxfId="123" priority="13" operator="containsText" text="Leve">
      <formula>NOT(ISERROR(SEARCH("Leve",X4)))</formula>
    </cfRule>
  </conditionalFormatting>
  <conditionalFormatting sqref="Z4 Z6 Z8:Z10">
    <cfRule type="containsText" dxfId="122" priority="5" operator="containsText" text="Alto">
      <formula>NOT(ISERROR(SEARCH("Alto",Z4)))</formula>
    </cfRule>
    <cfRule type="containsText" dxfId="121" priority="6" operator="containsText" text="Moderado">
      <formula>NOT(ISERROR(SEARCH("Moderado",Z4)))</formula>
    </cfRule>
    <cfRule type="containsText" dxfId="120" priority="7" operator="containsText" text="Extremo">
      <formula>NOT(ISERROR(SEARCH("Extremo",Z4)))</formula>
    </cfRule>
    <cfRule type="containsText" dxfId="119" priority="8" operator="containsText" text="Bajo">
      <formula>NOT(ISERROR(SEARCH("Bajo",Z4)))</formula>
    </cfRule>
  </conditionalFormatting>
  <conditionalFormatting sqref="AI4:AI10">
    <cfRule type="containsText" dxfId="118" priority="28" operator="containsText" text="BAJA">
      <formula>NOT(ISERROR(SEARCH("BAJA",AI4)))</formula>
    </cfRule>
    <cfRule type="containsText" dxfId="117" priority="29" operator="containsText" text="MEDIA">
      <formula>NOT(ISERROR(SEARCH("MEDIA",AI4)))</formula>
    </cfRule>
    <cfRule type="containsText" dxfId="116" priority="30" operator="containsText" text="ALTA">
      <formula>NOT(ISERROR(SEARCH("ALTA",AI4)))</formula>
    </cfRule>
  </conditionalFormatting>
  <conditionalFormatting sqref="AJ8:AK8">
    <cfRule type="containsText" dxfId="115" priority="22" operator="containsText" text="BAJA">
      <formula>NOT(ISERROR(SEARCH("BAJA",AJ8)))</formula>
    </cfRule>
    <cfRule type="containsText" dxfId="114" priority="23" operator="containsText" text="MEDIA">
      <formula>NOT(ISERROR(SEARCH("MEDIA",AJ8)))</formula>
    </cfRule>
    <cfRule type="containsText" dxfId="113" priority="24" operator="containsText" text="ALTA">
      <formula>NOT(ISERROR(SEARCH("ALTA",AJ8)))</formula>
    </cfRule>
  </conditionalFormatting>
  <conditionalFormatting sqref="AK4:AK7">
    <cfRule type="containsText" dxfId="112" priority="25" operator="containsText" text="BAJA">
      <formula>NOT(ISERROR(SEARCH("BAJA",AK4)))</formula>
    </cfRule>
    <cfRule type="containsText" dxfId="111" priority="26" operator="containsText" text="MEDIA">
      <formula>NOT(ISERROR(SEARCH("MEDIA",AK4)))</formula>
    </cfRule>
    <cfRule type="containsText" dxfId="110" priority="27" operator="containsText" text="ALTA">
      <formula>NOT(ISERROR(SEARCH("ALTA",AK4)))</formula>
    </cfRule>
  </conditionalFormatting>
  <conditionalFormatting sqref="AR8">
    <cfRule type="containsText" dxfId="109" priority="19" operator="containsText" text="BAJA">
      <formula>NOT(ISERROR(SEARCH("BAJA",AR8)))</formula>
    </cfRule>
    <cfRule type="containsText" dxfId="108" priority="20" operator="containsText" text="MEDIA">
      <formula>NOT(ISERROR(SEARCH("MEDIA",AR8)))</formula>
    </cfRule>
    <cfRule type="containsText" dxfId="107" priority="21" operator="containsText" text="ALTA">
      <formula>NOT(ISERROR(SEARCH("ALTA",AR8)))</formula>
    </cfRule>
  </conditionalFormatting>
  <dataValidations count="3">
    <dataValidation type="list" allowBlank="1" showInputMessage="1" showErrorMessage="1" sqref="A4:A10">
      <formula1>"SI,NO"</formula1>
    </dataValidation>
    <dataValidation type="list" allowBlank="1" showInputMessage="1" showErrorMessage="1" sqref="AF4:AF10">
      <formula1>"Manual,Automático"</formula1>
    </dataValidation>
    <dataValidation type="list" allowBlank="1" showInputMessage="1" showErrorMessage="1" sqref="AI4:AI10">
      <formula1>"Confiable,No confiable"</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9"/>
  <sheetViews>
    <sheetView topLeftCell="A15" zoomScale="89" zoomScaleNormal="89" workbookViewId="0">
      <selection activeCell="A19" sqref="A19"/>
    </sheetView>
  </sheetViews>
  <sheetFormatPr baseColWidth="10" defaultColWidth="9.140625" defaultRowHeight="157.15" customHeight="1"/>
  <cols>
    <col min="1" max="1" width="11.42578125" customWidth="1"/>
    <col min="2" max="2" width="20.85546875" customWidth="1"/>
    <col min="3" max="5" width="11.42578125" customWidth="1"/>
    <col min="6" max="6" width="23.140625" style="582" customWidth="1"/>
    <col min="7" max="7" width="11.42578125" customWidth="1"/>
    <col min="8" max="8" width="43.85546875" customWidth="1"/>
    <col min="9" max="9" width="33.140625" customWidth="1"/>
    <col min="10" max="12" width="11.42578125" customWidth="1"/>
    <col min="13" max="13" width="22.7109375" customWidth="1"/>
    <col min="14" max="14" width="11.42578125" customWidth="1"/>
    <col min="15" max="15" width="27.28515625" customWidth="1"/>
    <col min="16" max="16" width="11.42578125" customWidth="1"/>
    <col min="17" max="17" width="24" customWidth="1"/>
    <col min="18" max="18" width="11.42578125" customWidth="1"/>
    <col min="19" max="19" width="20" customWidth="1"/>
    <col min="20" max="20" width="22.7109375" customWidth="1"/>
    <col min="21" max="21" width="11.42578125" customWidth="1"/>
    <col min="22" max="22" width="22.28515625" customWidth="1"/>
    <col min="23" max="23" width="11.42578125" customWidth="1"/>
    <col min="24" max="24" width="20.42578125" customWidth="1"/>
    <col min="25" max="25" width="11.42578125" customWidth="1"/>
    <col min="26" max="26" width="19.140625" customWidth="1"/>
    <col min="27" max="27" width="11.42578125" customWidth="1"/>
    <col min="28" max="28" width="27.42578125" customWidth="1"/>
    <col min="29" max="29" width="26.28515625" customWidth="1"/>
    <col min="30" max="30" width="14.7109375" customWidth="1"/>
    <col min="31" max="36" width="11.42578125" customWidth="1"/>
    <col min="37" max="37" width="20.42578125" customWidth="1"/>
    <col min="38" max="41" width="15.5703125" customWidth="1"/>
    <col min="42" max="42" width="3.140625" customWidth="1"/>
    <col min="43" max="43" width="18.28515625" customWidth="1"/>
    <col min="44" max="44" width="21.28515625" customWidth="1"/>
    <col min="45" max="256" width="11.42578125" customWidth="1"/>
  </cols>
  <sheetData>
    <row r="1" spans="1:59" ht="51.6"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21.6"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ht="61.15" customHeight="1" thickBot="1">
      <c r="A3" s="611" t="s">
        <v>199</v>
      </c>
      <c r="B3" s="611" t="s">
        <v>144</v>
      </c>
      <c r="C3" s="611" t="s">
        <v>6</v>
      </c>
      <c r="D3" s="611" t="s">
        <v>1</v>
      </c>
      <c r="E3" s="611" t="s">
        <v>2</v>
      </c>
      <c r="F3" s="568"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ht="54" customHeight="1" thickBot="1">
      <c r="A4" s="1173" t="s">
        <v>231</v>
      </c>
      <c r="B4" s="814" t="s">
        <v>110</v>
      </c>
      <c r="C4" s="814" t="s">
        <v>92</v>
      </c>
      <c r="D4" s="814" t="s">
        <v>90</v>
      </c>
      <c r="E4" s="814" t="s">
        <v>54</v>
      </c>
      <c r="F4" s="828" t="s">
        <v>1068</v>
      </c>
      <c r="G4" s="814" t="s">
        <v>1069</v>
      </c>
      <c r="H4" s="814" t="s">
        <v>1070</v>
      </c>
      <c r="I4" s="814" t="s">
        <v>1071</v>
      </c>
      <c r="J4" s="1166" t="s">
        <v>33</v>
      </c>
      <c r="K4" s="1166">
        <v>3</v>
      </c>
      <c r="L4" s="1151">
        <f>IF(J4="Diaria",+(K4/360),IF(J4="Semanal",+(K4/52),IF(J4="Mensual",+(K4/12),IF(J4="Bimestral",+(K4/6),IF(J4="Trimestral",+(K4/4),IF(J4="Semestral",+(K4/2),IF(J4="Anual",+(K4/1),"")))))))</f>
        <v>8.3333333333333332E-3</v>
      </c>
      <c r="M4" s="1166" t="s">
        <v>47</v>
      </c>
      <c r="N4" s="1043">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0.4</v>
      </c>
      <c r="O4" s="1166" t="s">
        <v>48</v>
      </c>
      <c r="P4" s="1043">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0.4</v>
      </c>
      <c r="Q4" s="1166" t="s">
        <v>49</v>
      </c>
      <c r="R4" s="1043">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0.4</v>
      </c>
      <c r="S4" s="826" t="s">
        <v>97</v>
      </c>
      <c r="T4" s="826" t="s">
        <v>45</v>
      </c>
      <c r="U4" s="840">
        <f>+MAX(N4,P4,R4)</f>
        <v>0.4</v>
      </c>
      <c r="V4" s="912" t="str">
        <f>IF(L4&lt;=20%,"Muy baja",IF(L4&lt;=40%,"Baja",IF(L4&lt;=60%,"Media",IF(L4&lt;=80%,"Alta",IF(L4&lt;=100%,"Muy alta",IF(L4&gt;=100%,"Muy alta",""))))))</f>
        <v>Muy baja</v>
      </c>
      <c r="W4" s="840">
        <f>+IFERROR(VLOOKUP(V4,formulas!$F$1:$G$6,2,FALSE),"")</f>
        <v>0.2</v>
      </c>
      <c r="X4" s="911" t="str">
        <f>IF(U4=20%,"Leve",IF(U4=40%,"Menor",IF(U4=60%,"Moderado",IF(U4=80%,"Mayor",IF(U4=100%,"Catastrófico","")))))</f>
        <v>Menor</v>
      </c>
      <c r="Y4" s="840">
        <f>+IFERROR(VLOOKUP(X4,formulas!$H$1:$I$6,2,FALSE),"")</f>
        <v>0.4</v>
      </c>
      <c r="Z4" s="911" t="str">
        <f>+IFERROR(VLOOKUP(V4&amp;X4,formulas!$C$2:$D$26,2,FALSE),"")</f>
        <v>Bajo</v>
      </c>
      <c r="AA4" s="840">
        <f>IF(Z4="Bajo",25%,IF(Z4="Moderado",50%,IF(Z4="Alto",75%,IF(Z4="Extremo",100%,""))))</f>
        <v>0.25</v>
      </c>
      <c r="AB4" s="817" t="s">
        <v>1072</v>
      </c>
      <c r="AC4" s="731" t="s">
        <v>1073</v>
      </c>
      <c r="AD4" s="612" t="s">
        <v>57</v>
      </c>
      <c r="AE4" s="656">
        <f t="shared" ref="AE4:AE19" si="0">IF(AD4="Preventivo",25%,IF(AD4="Detectivo",15%,IF(AD4="Correctivo",10%,"")))</f>
        <v>0.25</v>
      </c>
      <c r="AF4" s="612" t="s">
        <v>229</v>
      </c>
      <c r="AG4" s="656">
        <f>IF(AF4="Manual",15%,IF(AF4="Automático",25%,""))</f>
        <v>0.15</v>
      </c>
      <c r="AH4" s="656">
        <f>+AG4+AE4</f>
        <v>0.4</v>
      </c>
      <c r="AI4" s="612" t="s">
        <v>230</v>
      </c>
      <c r="AJ4" s="612" t="s">
        <v>24</v>
      </c>
      <c r="AK4" s="612" t="s">
        <v>1074</v>
      </c>
      <c r="AL4" s="647">
        <f>+AA4*AH4</f>
        <v>0.1</v>
      </c>
      <c r="AM4" s="647">
        <f>+AA4-AL4</f>
        <v>0.15</v>
      </c>
      <c r="AN4" s="911" t="str">
        <f>+IF(C4="Corrupción","Moderado",IF(AM5&lt;=25%,"Bajo",IF(AM5&lt;=50%,"Moderado",IF(AM5&lt;=75%,"Alto",IF(AM5&gt;75%,"Extremo","")))))</f>
        <v>Bajo</v>
      </c>
      <c r="AO4" s="1156" t="s">
        <v>59</v>
      </c>
      <c r="AP4" s="386">
        <v>1</v>
      </c>
      <c r="AQ4" s="613" t="s">
        <v>1075</v>
      </c>
      <c r="AR4" s="613" t="s">
        <v>1076</v>
      </c>
      <c r="AS4" s="258"/>
      <c r="AT4" s="375"/>
      <c r="AU4" s="528"/>
      <c r="AV4" s="613"/>
      <c r="AW4" s="613"/>
      <c r="AX4" s="613"/>
      <c r="AY4" s="613"/>
      <c r="AZ4" s="613"/>
      <c r="BA4" s="613"/>
      <c r="BB4" s="613"/>
      <c r="BC4" s="613"/>
      <c r="BD4" s="613"/>
      <c r="BE4" s="613"/>
      <c r="BF4" s="368"/>
      <c r="BG4" s="640"/>
    </row>
    <row r="5" spans="1:59" ht="54" customHeight="1" thickBot="1">
      <c r="A5" s="1174"/>
      <c r="B5" s="816"/>
      <c r="C5" s="816"/>
      <c r="D5" s="816"/>
      <c r="E5" s="816"/>
      <c r="F5" s="829"/>
      <c r="G5" s="816"/>
      <c r="H5" s="816"/>
      <c r="I5" s="816"/>
      <c r="J5" s="1167"/>
      <c r="K5" s="1167"/>
      <c r="L5" s="1144"/>
      <c r="M5" s="1167"/>
      <c r="N5" s="1044" t="str">
        <f t="shared" ref="N5:N19" si="1">IF(M5="Menor al 1% del patrimonio de la Lotería de Bogotá",20%,IF(M5="Entre el 1% y el 3% del patrimonio de la Lotería de Bogotá",40%,IF(M5="Entre el 3% y el 6% del patrimonio de la Lotería de Bogotá",60%,IF(M5="Entre el 6% y el 10% del patrimonio de la Lotería de Bogotá",80%,IF(M5="Mayor al 10% del patrimonio de la Lotería de Bogotá",100%,IF(M5="NA",0%,""))))))</f>
        <v/>
      </c>
      <c r="O5" s="1167"/>
      <c r="P5" s="1044" t="str">
        <f t="shared" ref="P5:P19" si="2">IF(O5="El riesgo afecta la imagen de algún área de la organización",20%,IF(O5="El riesgo afecta la imagen de la entidad internamente, de conocimiento general nivel interno, de junta directiva y accionistas y/o de proveedores",40%,IF(O5="El riesgo afecta la imagen de la entidad con algunos usuarios de relevancia frente al logro de los objetivos",60%,IF(O5="El riesgo afecta la imagen de la entidad con efecto publicitario sostenido a nivel de sector administrativo, nivel departamental o municipal",80%,IF(O5="El riesgo afecta la imagen de la entidad a nivel nacional, con efecto publicitario sostenido a nivel país",100%,IF(O5="NA",0%,""))))))</f>
        <v/>
      </c>
      <c r="Q5" s="1167"/>
      <c r="R5" s="1044" t="str">
        <f t="shared" ref="R5:R19" si="3">IF(Q5="Interrupción de la operación por menos de un día",20%,IF(Q5="Interrupción de la operación por un día completo",40%,IF(Q5="Interrupción de la operación mayor a 1 día y menor a 2 días",60%,IF(Q5="Interrupción de la operación por dos días completos",80%,IF(Q5="Interrupción de la operación por más de dos días",100%,IF(Q5="NA",0%,""))))))</f>
        <v/>
      </c>
      <c r="S5" s="827"/>
      <c r="T5" s="827"/>
      <c r="U5" s="842">
        <f t="shared" ref="U5:U19" si="4">+MAX(N5,P5,R5)</f>
        <v>0</v>
      </c>
      <c r="V5" s="913"/>
      <c r="W5" s="842" t="str">
        <f>+IFERROR(VLOOKUP(V5,formulas!$F$1:$G$6,2,FALSE),"")</f>
        <v/>
      </c>
      <c r="X5" s="822"/>
      <c r="Y5" s="842" t="str">
        <f>+IFERROR(VLOOKUP(X5,formulas!$H$1:$I$6,2,FALSE),"")</f>
        <v/>
      </c>
      <c r="Z5" s="822"/>
      <c r="AA5" s="842" t="str">
        <f t="shared" ref="AA5:AA19" si="5">IF(Z5="Bajo",25%,IF(Z5="Moderado",50%,IF(Z5="Alto",75%,IF(Z5="Extremo",100%,""))))</f>
        <v/>
      </c>
      <c r="AB5" s="819"/>
      <c r="AC5" s="396" t="s">
        <v>1077</v>
      </c>
      <c r="AD5" s="396" t="s">
        <v>57</v>
      </c>
      <c r="AE5" s="657">
        <f t="shared" si="0"/>
        <v>0.25</v>
      </c>
      <c r="AF5" s="175" t="s">
        <v>229</v>
      </c>
      <c r="AG5" s="657">
        <f t="shared" ref="AG5:AG19" si="6">IF(AF5="Manual",15%,IF(AF5="Automático",25%,""))</f>
        <v>0.15</v>
      </c>
      <c r="AH5" s="657">
        <f t="shared" ref="AH5:AH19" si="7">+AG5+AE5</f>
        <v>0.4</v>
      </c>
      <c r="AI5" s="529"/>
      <c r="AJ5" s="614" t="s">
        <v>24</v>
      </c>
      <c r="AK5" s="614" t="s">
        <v>1078</v>
      </c>
      <c r="AL5" s="648">
        <f>+AM4*AH5</f>
        <v>0.06</v>
      </c>
      <c r="AM5" s="648">
        <f>+AM4-AL5</f>
        <v>0.09</v>
      </c>
      <c r="AN5" s="822"/>
      <c r="AO5" s="1157"/>
      <c r="AP5" s="387">
        <v>2</v>
      </c>
      <c r="AQ5" s="614" t="s">
        <v>1079</v>
      </c>
      <c r="AR5" s="614" t="s">
        <v>1080</v>
      </c>
      <c r="AS5" s="397"/>
      <c r="AT5" s="397"/>
      <c r="AU5" s="397"/>
      <c r="AV5" s="397"/>
      <c r="AW5" s="397"/>
      <c r="AX5" s="397"/>
      <c r="AY5" s="397"/>
      <c r="AZ5" s="397"/>
      <c r="BA5" s="397"/>
      <c r="BB5" s="397"/>
      <c r="BC5" s="397"/>
      <c r="BD5" s="397"/>
      <c r="BE5" s="397"/>
    </row>
    <row r="6" spans="1:59" ht="54" customHeight="1">
      <c r="A6" s="1173" t="s">
        <v>231</v>
      </c>
      <c r="B6" s="814" t="s">
        <v>110</v>
      </c>
      <c r="C6" s="814" t="s">
        <v>92</v>
      </c>
      <c r="D6" s="814" t="s">
        <v>90</v>
      </c>
      <c r="E6" s="814" t="s">
        <v>54</v>
      </c>
      <c r="F6" s="836" t="s">
        <v>1081</v>
      </c>
      <c r="G6" s="814" t="s">
        <v>1082</v>
      </c>
      <c r="H6" s="814" t="s">
        <v>1083</v>
      </c>
      <c r="I6" s="833" t="s">
        <v>1084</v>
      </c>
      <c r="J6" s="814" t="s">
        <v>95</v>
      </c>
      <c r="K6" s="814">
        <v>1</v>
      </c>
      <c r="L6" s="1168">
        <f t="shared" ref="L6:L19" si="8">IF(J6="Diaria",+(K6/360),IF(J6="Semanal",+(K6/52),IF(J6="Mensual",+(K6/12),IF(J6="Bimestral",+(K6/6),IF(J6="Trimestral",+(K6/4),IF(J6="Semestral",+(K6/2),IF(J6="Anual",+(K6/1),"")))))))</f>
        <v>0.5</v>
      </c>
      <c r="M6" s="814" t="s">
        <v>30</v>
      </c>
      <c r="N6" s="817">
        <f t="shared" si="1"/>
        <v>0.2</v>
      </c>
      <c r="O6" s="814" t="s">
        <v>31</v>
      </c>
      <c r="P6" s="817">
        <f t="shared" si="2"/>
        <v>0.2</v>
      </c>
      <c r="Q6" s="814" t="s">
        <v>73</v>
      </c>
      <c r="R6" s="817">
        <f t="shared" si="3"/>
        <v>0</v>
      </c>
      <c r="S6" s="826" t="s">
        <v>97</v>
      </c>
      <c r="T6" s="1038" t="s">
        <v>45</v>
      </c>
      <c r="U6" s="1162">
        <f t="shared" si="4"/>
        <v>0.2</v>
      </c>
      <c r="V6" s="915" t="str">
        <f t="shared" ref="V6:V19" si="9">IF(L6&lt;=20%,"Muy baja",IF(L6&lt;=40%,"Baja",IF(L6&lt;=60%,"Media",IF(L6&lt;=80%,"Alta",IF(L6&lt;=100%,"Muy alta",IF(L6&gt;=100%,"Muy alta",""))))))</f>
        <v>Media</v>
      </c>
      <c r="W6" s="1162">
        <f>+IFERROR(VLOOKUP(V6,formulas!$F$1:$G$6,2,FALSE),"")</f>
        <v>0.6</v>
      </c>
      <c r="X6" s="821" t="str">
        <f t="shared" ref="X6:X19" si="10">IF(U6=20%,"Leve",IF(U6=40%,"Menor",IF(U6=60%,"Moderado",IF(U6=80%,"Mayor",IF(U6=100%,"Catastrófico","")))))</f>
        <v>Leve</v>
      </c>
      <c r="Y6" s="1162">
        <f>+IFERROR(VLOOKUP(X6,formulas!$H$1:$I$6,2,FALSE),"")</f>
        <v>0.2</v>
      </c>
      <c r="Z6" s="821" t="str">
        <f>+IFERROR(VLOOKUP(V6&amp;X6,formulas!$C$2:$D$26,2,FALSE),"")</f>
        <v>Moderado</v>
      </c>
      <c r="AA6" s="1162">
        <f t="shared" si="5"/>
        <v>0.5</v>
      </c>
      <c r="AB6" s="1159" t="s">
        <v>1085</v>
      </c>
      <c r="AC6" s="432" t="s">
        <v>1086</v>
      </c>
      <c r="AD6" s="432" t="s">
        <v>57</v>
      </c>
      <c r="AE6" s="666">
        <f t="shared" si="0"/>
        <v>0.25</v>
      </c>
      <c r="AF6" s="724" t="s">
        <v>229</v>
      </c>
      <c r="AG6" s="666">
        <f t="shared" si="6"/>
        <v>0.15</v>
      </c>
      <c r="AH6" s="666">
        <f t="shared" si="7"/>
        <v>0.4</v>
      </c>
      <c r="AI6" s="530"/>
      <c r="AJ6" s="724" t="s">
        <v>24</v>
      </c>
      <c r="AK6" s="724" t="s">
        <v>1087</v>
      </c>
      <c r="AL6" s="268">
        <f t="shared" ref="AL6:AL19" si="11">+AA6*AH6</f>
        <v>0.2</v>
      </c>
      <c r="AM6" s="268">
        <f t="shared" ref="AM6:AM19" si="12">+AA6-AL6</f>
        <v>0.3</v>
      </c>
      <c r="AN6" s="821" t="str">
        <f>+IF(C6="Corrupción","Moderado",IF(AM7&lt;=25%,"Bajo",IF(AM7&lt;=50%,"Moderado",IF(AM7&lt;=75%,"Alto",IF(AM7&gt;75%,"Extremo","")))))</f>
        <v>Bajo</v>
      </c>
      <c r="AO6" s="1158" t="s">
        <v>59</v>
      </c>
      <c r="AP6" s="388">
        <v>1</v>
      </c>
      <c r="AQ6" s="612" t="s">
        <v>1088</v>
      </c>
      <c r="AR6" s="612" t="s">
        <v>1089</v>
      </c>
      <c r="AS6" s="399"/>
      <c r="AT6" s="399"/>
      <c r="AU6" s="399"/>
      <c r="AV6" s="399"/>
      <c r="AW6" s="399"/>
      <c r="AX6" s="399"/>
      <c r="AY6" s="399"/>
      <c r="AZ6" s="399"/>
      <c r="BA6" s="399"/>
      <c r="BB6" s="399"/>
      <c r="BC6" s="399"/>
      <c r="BD6" s="399"/>
      <c r="BE6" s="399"/>
    </row>
    <row r="7" spans="1:59" ht="54" customHeight="1" thickBot="1">
      <c r="A7" s="1174"/>
      <c r="B7" s="816"/>
      <c r="C7" s="816"/>
      <c r="D7" s="816"/>
      <c r="E7" s="816"/>
      <c r="F7" s="837"/>
      <c r="G7" s="816"/>
      <c r="H7" s="816"/>
      <c r="I7" s="835"/>
      <c r="J7" s="816"/>
      <c r="K7" s="816"/>
      <c r="L7" s="1144"/>
      <c r="M7" s="816"/>
      <c r="N7" s="819" t="str">
        <f t="shared" si="1"/>
        <v/>
      </c>
      <c r="O7" s="816"/>
      <c r="P7" s="819" t="str">
        <f t="shared" si="2"/>
        <v/>
      </c>
      <c r="Q7" s="816"/>
      <c r="R7" s="819" t="str">
        <f t="shared" si="3"/>
        <v/>
      </c>
      <c r="S7" s="827"/>
      <c r="T7" s="827"/>
      <c r="U7" s="842">
        <f t="shared" si="4"/>
        <v>0</v>
      </c>
      <c r="V7" s="913"/>
      <c r="W7" s="842" t="str">
        <f>+IFERROR(VLOOKUP(V7,formulas!$F$1:$G$6,2,FALSE),"")</f>
        <v/>
      </c>
      <c r="X7" s="822"/>
      <c r="Y7" s="842" t="str">
        <f>+IFERROR(VLOOKUP(X7,formulas!$H$1:$I$6,2,FALSE),"")</f>
        <v/>
      </c>
      <c r="Z7" s="822"/>
      <c r="AA7" s="842" t="str">
        <f t="shared" si="5"/>
        <v/>
      </c>
      <c r="AB7" s="819"/>
      <c r="AC7" s="396" t="s">
        <v>1090</v>
      </c>
      <c r="AD7" s="396" t="s">
        <v>57</v>
      </c>
      <c r="AE7" s="657">
        <f t="shared" si="0"/>
        <v>0.25</v>
      </c>
      <c r="AF7" s="614" t="s">
        <v>229</v>
      </c>
      <c r="AG7" s="657">
        <f t="shared" si="6"/>
        <v>0.15</v>
      </c>
      <c r="AH7" s="657">
        <f t="shared" si="7"/>
        <v>0.4</v>
      </c>
      <c r="AI7" s="529"/>
      <c r="AJ7" s="614" t="s">
        <v>24</v>
      </c>
      <c r="AK7" s="614" t="s">
        <v>1091</v>
      </c>
      <c r="AL7" s="648">
        <f>+AM6*AH7</f>
        <v>0.12</v>
      </c>
      <c r="AM7" s="648">
        <f>+AM6-AL7</f>
        <v>0.18</v>
      </c>
      <c r="AN7" s="822"/>
      <c r="AO7" s="1157"/>
      <c r="AP7" s="389">
        <v>2</v>
      </c>
      <c r="AQ7" s="614" t="s">
        <v>1092</v>
      </c>
      <c r="AR7" s="614" t="s">
        <v>1089</v>
      </c>
      <c r="AS7" s="397"/>
      <c r="AT7" s="397"/>
      <c r="AU7" s="397"/>
      <c r="AV7" s="397"/>
      <c r="AW7" s="397"/>
      <c r="AX7" s="397"/>
      <c r="AY7" s="397"/>
      <c r="AZ7" s="397"/>
      <c r="BA7" s="397"/>
      <c r="BB7" s="397"/>
      <c r="BC7" s="397"/>
      <c r="BD7" s="397"/>
      <c r="BE7" s="397"/>
    </row>
    <row r="8" spans="1:59" ht="54" customHeight="1" thickBot="1">
      <c r="A8" s="1169" t="s">
        <v>231</v>
      </c>
      <c r="B8" s="1166" t="s">
        <v>110</v>
      </c>
      <c r="C8" s="1166" t="s">
        <v>101</v>
      </c>
      <c r="D8" s="1166" t="s">
        <v>90</v>
      </c>
      <c r="E8" s="1166" t="s">
        <v>19</v>
      </c>
      <c r="F8" s="1171" t="s">
        <v>1093</v>
      </c>
      <c r="G8" s="1166" t="s">
        <v>1094</v>
      </c>
      <c r="H8" s="1166" t="s">
        <v>1095</v>
      </c>
      <c r="I8" s="1175" t="s">
        <v>1096</v>
      </c>
      <c r="J8" s="1166" t="s">
        <v>66</v>
      </c>
      <c r="K8" s="1166">
        <v>0</v>
      </c>
      <c r="L8" s="1168">
        <f t="shared" si="8"/>
        <v>0</v>
      </c>
      <c r="M8" s="1166" t="s">
        <v>30</v>
      </c>
      <c r="N8" s="1043">
        <f t="shared" si="1"/>
        <v>0.2</v>
      </c>
      <c r="O8" s="1166" t="s">
        <v>64</v>
      </c>
      <c r="P8" s="1043">
        <f t="shared" si="2"/>
        <v>0.6</v>
      </c>
      <c r="Q8" s="1166" t="s">
        <v>32</v>
      </c>
      <c r="R8" s="1043">
        <f t="shared" si="3"/>
        <v>0.2</v>
      </c>
      <c r="S8" s="1142" t="s">
        <v>27</v>
      </c>
      <c r="T8" s="1165" t="s">
        <v>45</v>
      </c>
      <c r="U8" s="1163">
        <f t="shared" si="4"/>
        <v>0.6</v>
      </c>
      <c r="V8" s="914" t="str">
        <f t="shared" si="9"/>
        <v>Muy baja</v>
      </c>
      <c r="W8" s="1163">
        <f>+IFERROR(VLOOKUP(V8,formulas!$F$1:$G$6,2,FALSE),"")</f>
        <v>0.2</v>
      </c>
      <c r="X8" s="820" t="str">
        <f t="shared" si="10"/>
        <v>Moderado</v>
      </c>
      <c r="Y8" s="1163">
        <f>+IFERROR(VLOOKUP(X8,formulas!$H$1:$I$6,2,FALSE),"")</f>
        <v>0.6</v>
      </c>
      <c r="Z8" s="820" t="str">
        <f>+IFERROR(VLOOKUP(V8&amp;X8,formulas!$C$2:$D$26,2,FALSE),"")</f>
        <v>Moderado</v>
      </c>
      <c r="AA8" s="1163">
        <f t="shared" si="5"/>
        <v>0.5</v>
      </c>
      <c r="AB8" s="1043" t="s">
        <v>1097</v>
      </c>
      <c r="AC8" s="398" t="s">
        <v>1098</v>
      </c>
      <c r="AD8" s="398" t="s">
        <v>57</v>
      </c>
      <c r="AE8" s="667">
        <f t="shared" si="0"/>
        <v>0.25</v>
      </c>
      <c r="AF8" s="612" t="s">
        <v>229</v>
      </c>
      <c r="AG8" s="667">
        <f t="shared" si="6"/>
        <v>0.15</v>
      </c>
      <c r="AH8" s="667">
        <f t="shared" si="7"/>
        <v>0.4</v>
      </c>
      <c r="AI8" s="531"/>
      <c r="AJ8" s="612" t="s">
        <v>24</v>
      </c>
      <c r="AK8" s="612" t="s">
        <v>1099</v>
      </c>
      <c r="AL8" s="690">
        <f t="shared" si="11"/>
        <v>0.2</v>
      </c>
      <c r="AM8" s="690">
        <f t="shared" si="12"/>
        <v>0.3</v>
      </c>
      <c r="AN8" s="820" t="str">
        <f>+IF(C8="Corrupción","Moderado",IF(AM9&lt;=25%,"Bajo",IF(AM9&lt;=50%,"Moderado",IF(AM9&lt;=75%,"Alto",IF(AM9&gt;75%,"Extremo","")))))</f>
        <v>Bajo</v>
      </c>
      <c r="AO8" s="1142" t="s">
        <v>59</v>
      </c>
      <c r="AP8" s="388">
        <v>1</v>
      </c>
      <c r="AQ8" s="612" t="s">
        <v>1100</v>
      </c>
      <c r="AR8" s="612" t="s">
        <v>1101</v>
      </c>
      <c r="AS8" s="399"/>
      <c r="AT8" s="399"/>
      <c r="AU8" s="399"/>
      <c r="AV8" s="399"/>
      <c r="AW8" s="399"/>
      <c r="AX8" s="399"/>
      <c r="AY8" s="399"/>
      <c r="AZ8" s="399"/>
      <c r="BA8" s="399"/>
      <c r="BB8" s="399"/>
      <c r="BC8" s="399"/>
      <c r="BD8" s="399"/>
      <c r="BE8" s="399"/>
    </row>
    <row r="9" spans="1:59" ht="54" customHeight="1" thickBot="1">
      <c r="A9" s="1170"/>
      <c r="B9" s="1167"/>
      <c r="C9" s="1167"/>
      <c r="D9" s="1167"/>
      <c r="E9" s="1167"/>
      <c r="F9" s="1172"/>
      <c r="G9" s="1167"/>
      <c r="H9" s="1167"/>
      <c r="I9" s="1176"/>
      <c r="J9" s="1167"/>
      <c r="K9" s="1167"/>
      <c r="L9" s="1144"/>
      <c r="M9" s="1167"/>
      <c r="N9" s="1044" t="str">
        <f t="shared" si="1"/>
        <v/>
      </c>
      <c r="O9" s="1167"/>
      <c r="P9" s="1044" t="str">
        <f t="shared" si="2"/>
        <v/>
      </c>
      <c r="Q9" s="1167"/>
      <c r="R9" s="1044" t="str">
        <f t="shared" si="3"/>
        <v/>
      </c>
      <c r="S9" s="929"/>
      <c r="T9" s="929"/>
      <c r="U9" s="1164">
        <f t="shared" si="4"/>
        <v>0</v>
      </c>
      <c r="V9" s="913"/>
      <c r="W9" s="1164" t="str">
        <f>+IFERROR(VLOOKUP(V9,formulas!$F$1:$G$6,2,FALSE),"")</f>
        <v/>
      </c>
      <c r="X9" s="822"/>
      <c r="Y9" s="1164" t="str">
        <f>+IFERROR(VLOOKUP(X9,formulas!$H$1:$I$6,2,FALSE),"")</f>
        <v/>
      </c>
      <c r="Z9" s="822"/>
      <c r="AA9" s="1164" t="str">
        <f t="shared" si="5"/>
        <v/>
      </c>
      <c r="AB9" s="1044"/>
      <c r="AC9" s="396" t="s">
        <v>1102</v>
      </c>
      <c r="AD9" s="396" t="s">
        <v>57</v>
      </c>
      <c r="AE9" s="657">
        <f t="shared" si="0"/>
        <v>0.25</v>
      </c>
      <c r="AF9" s="175" t="s">
        <v>229</v>
      </c>
      <c r="AG9" s="657">
        <f t="shared" si="6"/>
        <v>0.15</v>
      </c>
      <c r="AH9" s="657">
        <f t="shared" si="7"/>
        <v>0.4</v>
      </c>
      <c r="AI9" s="529"/>
      <c r="AJ9" s="175" t="s">
        <v>24</v>
      </c>
      <c r="AK9" s="175" t="s">
        <v>1103</v>
      </c>
      <c r="AL9" s="648">
        <f>+AM8*AH9</f>
        <v>0.12</v>
      </c>
      <c r="AM9" s="648">
        <f>+AM8-AL9</f>
        <v>0.18</v>
      </c>
      <c r="AN9" s="822"/>
      <c r="AO9" s="929"/>
      <c r="AP9" s="389">
        <v>2</v>
      </c>
      <c r="AQ9" s="614" t="s">
        <v>1104</v>
      </c>
      <c r="AR9" s="614" t="s">
        <v>1101</v>
      </c>
      <c r="AS9" s="397"/>
      <c r="AT9" s="397"/>
      <c r="AU9" s="397"/>
      <c r="AV9" s="397"/>
      <c r="AW9" s="397"/>
      <c r="AX9" s="397"/>
      <c r="AY9" s="397"/>
      <c r="AZ9" s="397"/>
      <c r="BA9" s="397"/>
      <c r="BB9" s="397"/>
      <c r="BC9" s="397"/>
      <c r="BD9" s="397"/>
      <c r="BE9" s="397"/>
    </row>
    <row r="10" spans="1:59" ht="90" customHeight="1" thickBot="1">
      <c r="A10" s="376" t="s">
        <v>231</v>
      </c>
      <c r="B10" s="175" t="s">
        <v>110</v>
      </c>
      <c r="C10" s="175" t="s">
        <v>152</v>
      </c>
      <c r="D10" s="175" t="s">
        <v>90</v>
      </c>
      <c r="E10" s="175" t="s">
        <v>36</v>
      </c>
      <c r="F10" s="580" t="s">
        <v>1105</v>
      </c>
      <c r="G10" s="377" t="s">
        <v>1106</v>
      </c>
      <c r="H10" s="604" t="s">
        <v>1107</v>
      </c>
      <c r="I10" s="175" t="s">
        <v>1108</v>
      </c>
      <c r="J10" s="175" t="s">
        <v>33</v>
      </c>
      <c r="K10" s="175">
        <v>72</v>
      </c>
      <c r="L10" s="173">
        <f t="shared" si="8"/>
        <v>0.2</v>
      </c>
      <c r="M10" s="175" t="s">
        <v>30</v>
      </c>
      <c r="N10" s="204">
        <f t="shared" si="1"/>
        <v>0.2</v>
      </c>
      <c r="O10" s="175" t="s">
        <v>64</v>
      </c>
      <c r="P10" s="204">
        <f t="shared" si="2"/>
        <v>0.6</v>
      </c>
      <c r="Q10" s="175" t="s">
        <v>73</v>
      </c>
      <c r="R10" s="204">
        <f t="shared" si="3"/>
        <v>0</v>
      </c>
      <c r="S10" s="174" t="s">
        <v>73</v>
      </c>
      <c r="T10" s="174" t="s">
        <v>73</v>
      </c>
      <c r="U10" s="378">
        <f t="shared" si="4"/>
        <v>0.6</v>
      </c>
      <c r="V10" s="425" t="str">
        <f t="shared" si="9"/>
        <v>Muy baja</v>
      </c>
      <c r="W10" s="378">
        <f>+IFERROR(VLOOKUP(V10,formulas!$F$1:$G$6,2,FALSE),"")</f>
        <v>0.2</v>
      </c>
      <c r="X10" s="351" t="str">
        <f t="shared" si="10"/>
        <v>Moderado</v>
      </c>
      <c r="Y10" s="378">
        <f>+IFERROR(VLOOKUP(X10,formulas!$H$1:$I$6,2,FALSE),"")</f>
        <v>0.6</v>
      </c>
      <c r="Z10" s="351" t="str">
        <f>+IFERROR(VLOOKUP(V10&amp;X10,formulas!$C$2:$D$26,2,FALSE),"")</f>
        <v>Moderado</v>
      </c>
      <c r="AA10" s="378">
        <f t="shared" si="5"/>
        <v>0.5</v>
      </c>
      <c r="AB10" s="205" t="s">
        <v>1109</v>
      </c>
      <c r="AC10" s="400" t="s">
        <v>1110</v>
      </c>
      <c r="AD10" s="400" t="s">
        <v>57</v>
      </c>
      <c r="AE10" s="173">
        <f t="shared" si="0"/>
        <v>0.25</v>
      </c>
      <c r="AF10" s="175" t="s">
        <v>229</v>
      </c>
      <c r="AG10" s="173">
        <f t="shared" si="6"/>
        <v>0.15</v>
      </c>
      <c r="AH10" s="173">
        <f t="shared" si="7"/>
        <v>0.4</v>
      </c>
      <c r="AI10" s="532"/>
      <c r="AJ10" s="175" t="s">
        <v>41</v>
      </c>
      <c r="AK10" s="379" t="s">
        <v>516</v>
      </c>
      <c r="AL10" s="205">
        <f t="shared" si="11"/>
        <v>0.2</v>
      </c>
      <c r="AM10" s="205">
        <f t="shared" si="12"/>
        <v>0.3</v>
      </c>
      <c r="AN10" s="351" t="str">
        <f>+IF(C10="Corrupción","Moderado",IF(AM10&lt;=25%,"Bajo",IF(AM10&lt;=50%,"Moderado",IF(AM10&lt;=75%,"Alto",IF(AM10&gt;75%,"Extremo","")))))</f>
        <v>Moderado</v>
      </c>
      <c r="AO10" s="433" t="s">
        <v>59</v>
      </c>
      <c r="AP10" s="390">
        <v>1</v>
      </c>
      <c r="AQ10" s="175" t="s">
        <v>1111</v>
      </c>
      <c r="AR10" s="175" t="s">
        <v>1089</v>
      </c>
      <c r="AS10" s="401"/>
      <c r="AT10" s="401"/>
      <c r="AU10" s="401"/>
      <c r="AV10" s="401"/>
      <c r="AW10" s="401"/>
      <c r="AX10" s="401"/>
      <c r="AY10" s="401"/>
      <c r="AZ10" s="401"/>
      <c r="BA10" s="401"/>
      <c r="BB10" s="401"/>
      <c r="BC10" s="401"/>
      <c r="BD10" s="401"/>
      <c r="BE10" s="401"/>
    </row>
    <row r="11" spans="1:59" ht="54" customHeight="1" thickBot="1">
      <c r="A11" s="376" t="s">
        <v>231</v>
      </c>
      <c r="B11" s="379" t="s">
        <v>110</v>
      </c>
      <c r="C11" s="175" t="s">
        <v>92</v>
      </c>
      <c r="D11" s="175" t="s">
        <v>79</v>
      </c>
      <c r="E11" s="175" t="s">
        <v>36</v>
      </c>
      <c r="F11" s="564" t="s">
        <v>519</v>
      </c>
      <c r="G11" s="175" t="s">
        <v>520</v>
      </c>
      <c r="H11" s="175" t="s">
        <v>521</v>
      </c>
      <c r="I11" s="175" t="s">
        <v>522</v>
      </c>
      <c r="J11" s="175" t="s">
        <v>66</v>
      </c>
      <c r="K11" s="175">
        <v>1</v>
      </c>
      <c r="L11" s="173">
        <f t="shared" si="8"/>
        <v>8.3333333333333329E-2</v>
      </c>
      <c r="M11" s="175" t="s">
        <v>30</v>
      </c>
      <c r="N11" s="204">
        <f t="shared" si="1"/>
        <v>0.2</v>
      </c>
      <c r="O11" s="175" t="s">
        <v>64</v>
      </c>
      <c r="P11" s="204">
        <f t="shared" si="2"/>
        <v>0.6</v>
      </c>
      <c r="Q11" s="175" t="s">
        <v>73</v>
      </c>
      <c r="R11" s="204">
        <f t="shared" si="3"/>
        <v>0</v>
      </c>
      <c r="S11" s="174" t="s">
        <v>60</v>
      </c>
      <c r="T11" s="174" t="s">
        <v>45</v>
      </c>
      <c r="U11" s="378">
        <f t="shared" si="4"/>
        <v>0.6</v>
      </c>
      <c r="V11" s="425" t="str">
        <f t="shared" si="9"/>
        <v>Muy baja</v>
      </c>
      <c r="W11" s="378">
        <f>+IFERROR(VLOOKUP(V11,formulas!$F$1:$G$6,2,FALSE),"")</f>
        <v>0.2</v>
      </c>
      <c r="X11" s="351" t="str">
        <f t="shared" si="10"/>
        <v>Moderado</v>
      </c>
      <c r="Y11" s="378">
        <f>+IFERROR(VLOOKUP(X11,formulas!$H$1:$I$6,2,FALSE),"")</f>
        <v>0.6</v>
      </c>
      <c r="Z11" s="351" t="str">
        <f>+IFERROR(VLOOKUP(V11&amp;X11,formulas!$C$2:$D$26,2,FALSE),"")</f>
        <v>Moderado</v>
      </c>
      <c r="AA11" s="378">
        <f t="shared" si="5"/>
        <v>0.5</v>
      </c>
      <c r="AB11" s="204" t="s">
        <v>523</v>
      </c>
      <c r="AC11" s="400" t="s">
        <v>693</v>
      </c>
      <c r="AD11" s="400" t="s">
        <v>57</v>
      </c>
      <c r="AE11" s="173">
        <f t="shared" si="0"/>
        <v>0.25</v>
      </c>
      <c r="AF11" s="175" t="s">
        <v>229</v>
      </c>
      <c r="AG11" s="173">
        <f t="shared" si="6"/>
        <v>0.15</v>
      </c>
      <c r="AH11" s="173">
        <f t="shared" si="7"/>
        <v>0.4</v>
      </c>
      <c r="AI11" s="532"/>
      <c r="AJ11" s="175" t="s">
        <v>24</v>
      </c>
      <c r="AK11" s="391" t="s">
        <v>639</v>
      </c>
      <c r="AL11" s="205">
        <f t="shared" si="11"/>
        <v>0.2</v>
      </c>
      <c r="AM11" s="205">
        <f t="shared" si="12"/>
        <v>0.3</v>
      </c>
      <c r="AN11" s="351" t="str">
        <f>+IF(C11="Corrupción","Moderado",IF(AM11&lt;=25%,"Bajo",IF(AM11&lt;=50%,"Moderado",IF(AM11&lt;=75%,"Alto",IF(AM11&gt;75%,"Extremo","")))))</f>
        <v>Moderado</v>
      </c>
      <c r="AO11" s="174" t="s">
        <v>59</v>
      </c>
      <c r="AP11" s="261">
        <v>1</v>
      </c>
      <c r="AQ11" s="175" t="s">
        <v>694</v>
      </c>
      <c r="AR11" s="380" t="s">
        <v>1101</v>
      </c>
      <c r="AS11" s="401"/>
      <c r="AT11" s="401"/>
      <c r="AU11" s="401"/>
      <c r="AV11" s="401"/>
      <c r="AW11" s="401"/>
      <c r="AX11" s="401"/>
      <c r="AY11" s="401"/>
      <c r="AZ11" s="401"/>
      <c r="BA11" s="401"/>
      <c r="BB11" s="401"/>
      <c r="BC11" s="401"/>
      <c r="BD11" s="401"/>
      <c r="BE11" s="401"/>
    </row>
    <row r="12" spans="1:59" ht="54" customHeight="1" thickBot="1">
      <c r="A12" s="1169" t="s">
        <v>51</v>
      </c>
      <c r="B12" s="1166" t="s">
        <v>167</v>
      </c>
      <c r="C12" s="1166" t="s">
        <v>1112</v>
      </c>
      <c r="D12" s="1166" t="s">
        <v>582</v>
      </c>
      <c r="E12" s="1166" t="s">
        <v>80</v>
      </c>
      <c r="F12" s="624" t="s">
        <v>1113</v>
      </c>
      <c r="G12" s="814" t="s">
        <v>1114</v>
      </c>
      <c r="H12" s="814" t="s">
        <v>1115</v>
      </c>
      <c r="I12" s="1166" t="s">
        <v>1116</v>
      </c>
      <c r="J12" s="1166" t="s">
        <v>95</v>
      </c>
      <c r="K12" s="1166"/>
      <c r="L12" s="1168">
        <f t="shared" si="8"/>
        <v>0</v>
      </c>
      <c r="M12" s="1166" t="s">
        <v>73</v>
      </c>
      <c r="N12" s="1043">
        <f t="shared" si="1"/>
        <v>0</v>
      </c>
      <c r="O12" s="1166" t="s">
        <v>87</v>
      </c>
      <c r="P12" s="1043">
        <f t="shared" si="2"/>
        <v>1</v>
      </c>
      <c r="Q12" s="1166" t="s">
        <v>73</v>
      </c>
      <c r="R12" s="1043">
        <f t="shared" si="3"/>
        <v>0</v>
      </c>
      <c r="S12" s="1165" t="s">
        <v>72</v>
      </c>
      <c r="T12" s="1165" t="s">
        <v>28</v>
      </c>
      <c r="U12" s="1163">
        <f t="shared" si="4"/>
        <v>1</v>
      </c>
      <c r="V12" s="914" t="str">
        <f t="shared" si="9"/>
        <v>Muy baja</v>
      </c>
      <c r="W12" s="1163">
        <f>+IFERROR(VLOOKUP(V12,formulas!$F$1:$G$6,2,FALSE),"")</f>
        <v>0.2</v>
      </c>
      <c r="X12" s="820" t="str">
        <f t="shared" si="10"/>
        <v>Catastrófico</v>
      </c>
      <c r="Y12" s="1163">
        <f>+IFERROR(VLOOKUP(X12,formulas!$H$1:$I$6,2,FALSE),"")</f>
        <v>1</v>
      </c>
      <c r="Z12" s="820" t="str">
        <f>+IFERROR(VLOOKUP(V12&amp;X12,formulas!$C$2:$D$26,2,FALSE),"")</f>
        <v>Extremo</v>
      </c>
      <c r="AA12" s="1163">
        <f t="shared" si="5"/>
        <v>1</v>
      </c>
      <c r="AB12" s="1160" t="s">
        <v>1117</v>
      </c>
      <c r="AC12" s="398" t="s">
        <v>1118</v>
      </c>
      <c r="AD12" s="398" t="s">
        <v>57</v>
      </c>
      <c r="AE12" s="667">
        <f t="shared" si="0"/>
        <v>0.25</v>
      </c>
      <c r="AF12" s="612" t="s">
        <v>229</v>
      </c>
      <c r="AG12" s="667">
        <f t="shared" si="6"/>
        <v>0.15</v>
      </c>
      <c r="AH12" s="667">
        <f t="shared" si="7"/>
        <v>0.4</v>
      </c>
      <c r="AI12" s="531"/>
      <c r="AJ12" s="612" t="s">
        <v>24</v>
      </c>
      <c r="AK12" s="392" t="s">
        <v>646</v>
      </c>
      <c r="AL12" s="690">
        <f t="shared" si="11"/>
        <v>0.4</v>
      </c>
      <c r="AM12" s="690">
        <f t="shared" si="12"/>
        <v>0.6</v>
      </c>
      <c r="AN12" s="820" t="str">
        <f>+IF(C12="Corrupción","Moderado",IF(AM13&lt;=25%,"Bajo",IF(AM13&lt;=50%,"Moderado",IF(AM13&lt;=75%,"Alto",IF(AM13&gt;75%,"Extremo","")))))</f>
        <v>Moderado</v>
      </c>
      <c r="AO12" s="1142" t="s">
        <v>59</v>
      </c>
      <c r="AP12" s="723"/>
      <c r="AQ12" s="723"/>
      <c r="AR12" s="342"/>
      <c r="AS12" s="399"/>
      <c r="AT12" s="399"/>
      <c r="AU12" s="399"/>
      <c r="AV12" s="399"/>
      <c r="AW12" s="399"/>
      <c r="AX12" s="399"/>
      <c r="AY12" s="399"/>
      <c r="AZ12" s="399"/>
      <c r="BA12" s="399"/>
      <c r="BB12" s="399"/>
      <c r="BC12" s="399"/>
      <c r="BD12" s="399"/>
      <c r="BE12" s="399"/>
    </row>
    <row r="13" spans="1:59" ht="54" customHeight="1" thickBot="1">
      <c r="A13" s="1170"/>
      <c r="B13" s="1167"/>
      <c r="C13" s="1167"/>
      <c r="D13" s="1167"/>
      <c r="E13" s="1167"/>
      <c r="F13" s="564" t="s">
        <v>1119</v>
      </c>
      <c r="G13" s="816"/>
      <c r="H13" s="816"/>
      <c r="I13" s="1167"/>
      <c r="J13" s="1167"/>
      <c r="K13" s="1167"/>
      <c r="L13" s="1144"/>
      <c r="M13" s="1167"/>
      <c r="N13" s="1044" t="str">
        <f t="shared" si="1"/>
        <v/>
      </c>
      <c r="O13" s="1167"/>
      <c r="P13" s="1044" t="str">
        <f t="shared" si="2"/>
        <v/>
      </c>
      <c r="Q13" s="1167"/>
      <c r="R13" s="1044" t="str">
        <f t="shared" si="3"/>
        <v/>
      </c>
      <c r="S13" s="929"/>
      <c r="T13" s="929"/>
      <c r="U13" s="1164">
        <f t="shared" si="4"/>
        <v>0</v>
      </c>
      <c r="V13" s="913"/>
      <c r="W13" s="1164" t="str">
        <f>+IFERROR(VLOOKUP(V13,formulas!$F$1:$G$6,2,FALSE),"")</f>
        <v/>
      </c>
      <c r="X13" s="822"/>
      <c r="Y13" s="1164" t="str">
        <f>+IFERROR(VLOOKUP(X13,formulas!$H$1:$I$6,2,FALSE),"")</f>
        <v/>
      </c>
      <c r="Z13" s="822"/>
      <c r="AA13" s="1164" t="str">
        <f t="shared" si="5"/>
        <v/>
      </c>
      <c r="AB13" s="1161"/>
      <c r="AC13" s="396" t="s">
        <v>1120</v>
      </c>
      <c r="AD13" s="396" t="s">
        <v>57</v>
      </c>
      <c r="AE13" s="657">
        <f t="shared" si="0"/>
        <v>0.25</v>
      </c>
      <c r="AF13" s="614" t="s">
        <v>229</v>
      </c>
      <c r="AG13" s="657">
        <f t="shared" si="6"/>
        <v>0.15</v>
      </c>
      <c r="AH13" s="657">
        <f t="shared" si="7"/>
        <v>0.4</v>
      </c>
      <c r="AI13" s="529"/>
      <c r="AJ13" s="175" t="s">
        <v>24</v>
      </c>
      <c r="AK13" s="391" t="s">
        <v>872</v>
      </c>
      <c r="AL13" s="648">
        <f>+AM12*AH13</f>
        <v>0.24</v>
      </c>
      <c r="AM13" s="648">
        <f>+AM12-AL13</f>
        <v>0.36</v>
      </c>
      <c r="AN13" s="822"/>
      <c r="AO13" s="929"/>
      <c r="AP13" s="638"/>
      <c r="AQ13" s="638"/>
      <c r="AR13" s="259"/>
      <c r="AS13" s="397"/>
      <c r="AT13" s="397"/>
      <c r="AU13" s="397"/>
      <c r="AV13" s="397"/>
      <c r="AW13" s="397"/>
      <c r="AX13" s="397"/>
      <c r="AY13" s="397"/>
      <c r="AZ13" s="397"/>
      <c r="BA13" s="397"/>
      <c r="BB13" s="397"/>
      <c r="BC13" s="397"/>
      <c r="BD13" s="397"/>
      <c r="BE13" s="397"/>
    </row>
    <row r="14" spans="1:59" ht="54" customHeight="1" thickBot="1">
      <c r="A14" s="1169" t="s">
        <v>51</v>
      </c>
      <c r="B14" s="1166" t="s">
        <v>167</v>
      </c>
      <c r="C14" s="1166" t="s">
        <v>1112</v>
      </c>
      <c r="D14" s="1166" t="s">
        <v>582</v>
      </c>
      <c r="E14" s="1166" t="s">
        <v>80</v>
      </c>
      <c r="F14" s="624" t="s">
        <v>1121</v>
      </c>
      <c r="G14" s="814" t="s">
        <v>1122</v>
      </c>
      <c r="H14" s="814" t="s">
        <v>1123</v>
      </c>
      <c r="I14" s="1166" t="s">
        <v>1116</v>
      </c>
      <c r="J14" s="1166" t="s">
        <v>95</v>
      </c>
      <c r="K14" s="1166"/>
      <c r="L14" s="1168">
        <f t="shared" si="8"/>
        <v>0</v>
      </c>
      <c r="M14" s="1166" t="s">
        <v>73</v>
      </c>
      <c r="N14" s="1043">
        <f t="shared" si="1"/>
        <v>0</v>
      </c>
      <c r="O14" s="1166" t="s">
        <v>87</v>
      </c>
      <c r="P14" s="1043">
        <f t="shared" si="2"/>
        <v>1</v>
      </c>
      <c r="Q14" s="1166" t="s">
        <v>73</v>
      </c>
      <c r="R14" s="1043">
        <f t="shared" si="3"/>
        <v>0</v>
      </c>
      <c r="S14" s="1165" t="s">
        <v>72</v>
      </c>
      <c r="T14" s="1165" t="s">
        <v>28</v>
      </c>
      <c r="U14" s="1163">
        <f t="shared" si="4"/>
        <v>1</v>
      </c>
      <c r="V14" s="914" t="str">
        <f t="shared" si="9"/>
        <v>Muy baja</v>
      </c>
      <c r="W14" s="1163">
        <f>+IFERROR(VLOOKUP(V14,formulas!$F$1:$G$6,2,FALSE),"")</f>
        <v>0.2</v>
      </c>
      <c r="X14" s="820" t="str">
        <f t="shared" si="10"/>
        <v>Catastrófico</v>
      </c>
      <c r="Y14" s="1163">
        <f>+IFERROR(VLOOKUP(X14,formulas!$H$1:$I$6,2,FALSE),"")</f>
        <v>1</v>
      </c>
      <c r="Z14" s="820" t="str">
        <f>+IFERROR(VLOOKUP(V14&amp;X14,formulas!$C$2:$D$26,2,FALSE),"")</f>
        <v>Extremo</v>
      </c>
      <c r="AA14" s="1163">
        <f t="shared" si="5"/>
        <v>1</v>
      </c>
      <c r="AB14" s="1160" t="s">
        <v>1124</v>
      </c>
      <c r="AC14" s="398" t="s">
        <v>1125</v>
      </c>
      <c r="AD14" s="398" t="s">
        <v>57</v>
      </c>
      <c r="AE14" s="667">
        <f t="shared" si="0"/>
        <v>0.25</v>
      </c>
      <c r="AF14" s="612" t="s">
        <v>229</v>
      </c>
      <c r="AG14" s="667">
        <f t="shared" si="6"/>
        <v>0.15</v>
      </c>
      <c r="AH14" s="667">
        <f t="shared" si="7"/>
        <v>0.4</v>
      </c>
      <c r="AI14" s="531"/>
      <c r="AJ14" s="612" t="s">
        <v>24</v>
      </c>
      <c r="AK14" s="392" t="s">
        <v>1126</v>
      </c>
      <c r="AL14" s="690">
        <f t="shared" si="11"/>
        <v>0.4</v>
      </c>
      <c r="AM14" s="690">
        <f t="shared" si="12"/>
        <v>0.6</v>
      </c>
      <c r="AN14" s="820" t="str">
        <f>+IF(C14="Corrupción","Moderado",IF(AM15&lt;=25%,"Bajo",IF(AM15&lt;=50%,"Moderado",IF(AM15&lt;=75%,"Alto",IF(AM15&gt;75%,"Extremo","")))))</f>
        <v>Moderado</v>
      </c>
      <c r="AO14" s="715" t="s">
        <v>59</v>
      </c>
      <c r="AP14" s="637"/>
      <c r="AQ14" s="637"/>
      <c r="AR14" s="342"/>
      <c r="AS14" s="399"/>
      <c r="AT14" s="399"/>
      <c r="AU14" s="399"/>
      <c r="AV14" s="399"/>
      <c r="AW14" s="399"/>
      <c r="AX14" s="399"/>
      <c r="AY14" s="399"/>
      <c r="AZ14" s="399"/>
      <c r="BA14" s="399"/>
      <c r="BB14" s="399"/>
      <c r="BC14" s="399"/>
      <c r="BD14" s="399"/>
      <c r="BE14" s="399"/>
    </row>
    <row r="15" spans="1:59" ht="54" customHeight="1" thickBot="1">
      <c r="A15" s="1170"/>
      <c r="B15" s="1167"/>
      <c r="C15" s="1167"/>
      <c r="D15" s="1167"/>
      <c r="E15" s="1167"/>
      <c r="F15" s="564" t="s">
        <v>1119</v>
      </c>
      <c r="G15" s="816"/>
      <c r="H15" s="816"/>
      <c r="I15" s="1167"/>
      <c r="J15" s="1167"/>
      <c r="K15" s="1167"/>
      <c r="L15" s="1144"/>
      <c r="M15" s="1167"/>
      <c r="N15" s="1044" t="str">
        <f t="shared" si="1"/>
        <v/>
      </c>
      <c r="O15" s="1167"/>
      <c r="P15" s="1044" t="str">
        <f t="shared" si="2"/>
        <v/>
      </c>
      <c r="Q15" s="1167"/>
      <c r="R15" s="1044" t="str">
        <f t="shared" si="3"/>
        <v/>
      </c>
      <c r="S15" s="929"/>
      <c r="T15" s="929"/>
      <c r="U15" s="1164">
        <f t="shared" si="4"/>
        <v>0</v>
      </c>
      <c r="V15" s="913"/>
      <c r="W15" s="1164" t="str">
        <f>+IFERROR(VLOOKUP(V15,formulas!$F$1:$G$6,2,FALSE),"")</f>
        <v/>
      </c>
      <c r="X15" s="822"/>
      <c r="Y15" s="1164" t="str">
        <f>+IFERROR(VLOOKUP(X15,formulas!$H$1:$I$6,2,FALSE),"")</f>
        <v/>
      </c>
      <c r="Z15" s="822"/>
      <c r="AA15" s="1164" t="str">
        <f t="shared" si="5"/>
        <v/>
      </c>
      <c r="AB15" s="1161"/>
      <c r="AC15" s="396" t="s">
        <v>1120</v>
      </c>
      <c r="AD15" s="396" t="s">
        <v>57</v>
      </c>
      <c r="AE15" s="657">
        <f t="shared" si="0"/>
        <v>0.25</v>
      </c>
      <c r="AF15" s="614" t="s">
        <v>229</v>
      </c>
      <c r="AG15" s="657">
        <f t="shared" si="6"/>
        <v>0.15</v>
      </c>
      <c r="AH15" s="657">
        <f t="shared" si="7"/>
        <v>0.4</v>
      </c>
      <c r="AI15" s="529"/>
      <c r="AJ15" s="175" t="s">
        <v>24</v>
      </c>
      <c r="AK15" s="391" t="s">
        <v>872</v>
      </c>
      <c r="AL15" s="648">
        <f>+AM14*AH15</f>
        <v>0.24</v>
      </c>
      <c r="AM15" s="648">
        <f>+AM14-AL15</f>
        <v>0.36</v>
      </c>
      <c r="AN15" s="822"/>
      <c r="AO15" s="623" t="s">
        <v>59</v>
      </c>
      <c r="AP15" s="638"/>
      <c r="AQ15" s="638"/>
      <c r="AR15" s="259"/>
      <c r="AS15" s="397"/>
      <c r="AT15" s="397"/>
      <c r="AU15" s="397"/>
      <c r="AV15" s="397"/>
      <c r="AW15" s="397"/>
      <c r="AX15" s="397"/>
      <c r="AY15" s="397"/>
      <c r="AZ15" s="397"/>
      <c r="BA15" s="397"/>
      <c r="BB15" s="397"/>
      <c r="BC15" s="397"/>
      <c r="BD15" s="397"/>
      <c r="BE15" s="397"/>
    </row>
    <row r="16" spans="1:59" ht="54" customHeight="1" thickBot="1">
      <c r="A16" s="1169" t="s">
        <v>231</v>
      </c>
      <c r="B16" s="1166" t="s">
        <v>167</v>
      </c>
      <c r="C16" s="1166" t="s">
        <v>1112</v>
      </c>
      <c r="D16" s="1166" t="s">
        <v>582</v>
      </c>
      <c r="E16" s="1166" t="s">
        <v>80</v>
      </c>
      <c r="F16" s="624" t="s">
        <v>1127</v>
      </c>
      <c r="G16" s="814" t="s">
        <v>1128</v>
      </c>
      <c r="H16" s="814" t="s">
        <v>1129</v>
      </c>
      <c r="I16" s="1166" t="s">
        <v>1116</v>
      </c>
      <c r="J16" s="1166" t="s">
        <v>89</v>
      </c>
      <c r="K16" s="1166"/>
      <c r="L16" s="1168">
        <f t="shared" si="8"/>
        <v>0</v>
      </c>
      <c r="M16" s="1166" t="s">
        <v>73</v>
      </c>
      <c r="N16" s="1043">
        <f t="shared" si="1"/>
        <v>0</v>
      </c>
      <c r="O16" s="1166" t="s">
        <v>87</v>
      </c>
      <c r="P16" s="1043">
        <f t="shared" si="2"/>
        <v>1</v>
      </c>
      <c r="Q16" s="1166" t="s">
        <v>73</v>
      </c>
      <c r="R16" s="1043">
        <f t="shared" si="3"/>
        <v>0</v>
      </c>
      <c r="S16" s="1165" t="s">
        <v>72</v>
      </c>
      <c r="T16" s="1165" t="s">
        <v>28</v>
      </c>
      <c r="U16" s="1163">
        <f t="shared" si="4"/>
        <v>1</v>
      </c>
      <c r="V16" s="914" t="str">
        <f t="shared" si="9"/>
        <v>Muy baja</v>
      </c>
      <c r="W16" s="1163">
        <f>+IFERROR(VLOOKUP(V16,formulas!$F$1:$G$6,2,FALSE),"")</f>
        <v>0.2</v>
      </c>
      <c r="X16" s="820" t="str">
        <f t="shared" si="10"/>
        <v>Catastrófico</v>
      </c>
      <c r="Y16" s="1163">
        <f>+IFERROR(VLOOKUP(X16,formulas!$H$1:$I$6,2,FALSE),"")</f>
        <v>1</v>
      </c>
      <c r="Z16" s="820" t="str">
        <f>+IFERROR(VLOOKUP(V16&amp;X16,formulas!$C$2:$D$26,2,FALSE),"")</f>
        <v>Extremo</v>
      </c>
      <c r="AA16" s="1163">
        <f t="shared" si="5"/>
        <v>1</v>
      </c>
      <c r="AB16" s="1160" t="s">
        <v>1130</v>
      </c>
      <c r="AC16" s="398" t="s">
        <v>1131</v>
      </c>
      <c r="AD16" s="398" t="s">
        <v>57</v>
      </c>
      <c r="AE16" s="667">
        <f t="shared" si="0"/>
        <v>0.25</v>
      </c>
      <c r="AF16" s="612" t="s">
        <v>229</v>
      </c>
      <c r="AG16" s="667">
        <f t="shared" si="6"/>
        <v>0.15</v>
      </c>
      <c r="AH16" s="667">
        <f t="shared" si="7"/>
        <v>0.4</v>
      </c>
      <c r="AI16" s="531"/>
      <c r="AJ16" s="612" t="s">
        <v>24</v>
      </c>
      <c r="AK16" s="392" t="s">
        <v>646</v>
      </c>
      <c r="AL16" s="690">
        <f t="shared" si="11"/>
        <v>0.4</v>
      </c>
      <c r="AM16" s="690">
        <f t="shared" si="12"/>
        <v>0.6</v>
      </c>
      <c r="AN16" s="820" t="str">
        <f>+IF(C17="Corrupción","Moderado",IF(AM17&lt;=25%,"Bajo",IF(AM17&lt;=50%,"Moderado",IF(AM17&lt;=75%,"Alto",IF(AM17&gt;75%,"Extremo","")))))</f>
        <v>Moderado</v>
      </c>
      <c r="AO16" s="715" t="s">
        <v>59</v>
      </c>
      <c r="AP16" s="637"/>
      <c r="AQ16" s="637"/>
      <c r="AR16" s="342"/>
      <c r="AS16" s="399"/>
      <c r="AT16" s="399"/>
      <c r="AU16" s="399"/>
      <c r="AV16" s="399"/>
      <c r="AW16" s="399"/>
      <c r="AX16" s="399"/>
      <c r="AY16" s="399"/>
      <c r="AZ16" s="399"/>
      <c r="BA16" s="399"/>
      <c r="BB16" s="399"/>
      <c r="BC16" s="399"/>
      <c r="BD16" s="399"/>
      <c r="BE16" s="399"/>
    </row>
    <row r="17" spans="1:57" ht="54" customHeight="1" thickBot="1">
      <c r="A17" s="1170"/>
      <c r="B17" s="1167"/>
      <c r="C17" s="1167"/>
      <c r="D17" s="1167"/>
      <c r="E17" s="1167"/>
      <c r="F17" s="564" t="s">
        <v>1132</v>
      </c>
      <c r="G17" s="816"/>
      <c r="H17" s="816"/>
      <c r="I17" s="1167"/>
      <c r="J17" s="1167"/>
      <c r="K17" s="1167"/>
      <c r="L17" s="1144"/>
      <c r="M17" s="1167"/>
      <c r="N17" s="1044" t="str">
        <f t="shared" si="1"/>
        <v/>
      </c>
      <c r="O17" s="1167"/>
      <c r="P17" s="1044" t="str">
        <f t="shared" si="2"/>
        <v/>
      </c>
      <c r="Q17" s="1167"/>
      <c r="R17" s="1044" t="str">
        <f t="shared" si="3"/>
        <v/>
      </c>
      <c r="S17" s="929"/>
      <c r="T17" s="929"/>
      <c r="U17" s="1164">
        <f t="shared" si="4"/>
        <v>0</v>
      </c>
      <c r="V17" s="913"/>
      <c r="W17" s="1164" t="str">
        <f>+IFERROR(VLOOKUP(V17,formulas!$F$1:$G$6,2,FALSE),"")</f>
        <v/>
      </c>
      <c r="X17" s="822"/>
      <c r="Y17" s="1164" t="str">
        <f>+IFERROR(VLOOKUP(X17,formulas!$H$1:$I$6,2,FALSE),"")</f>
        <v/>
      </c>
      <c r="Z17" s="822"/>
      <c r="AA17" s="1164" t="str">
        <f t="shared" si="5"/>
        <v/>
      </c>
      <c r="AB17" s="1161"/>
      <c r="AC17" s="396" t="s">
        <v>1120</v>
      </c>
      <c r="AD17" s="396" t="s">
        <v>57</v>
      </c>
      <c r="AE17" s="657">
        <f t="shared" si="0"/>
        <v>0.25</v>
      </c>
      <c r="AF17" s="614" t="s">
        <v>229</v>
      </c>
      <c r="AG17" s="657">
        <f t="shared" si="6"/>
        <v>0.15</v>
      </c>
      <c r="AH17" s="657">
        <f t="shared" si="7"/>
        <v>0.4</v>
      </c>
      <c r="AI17" s="529"/>
      <c r="AJ17" s="175" t="s">
        <v>24</v>
      </c>
      <c r="AK17" s="391" t="s">
        <v>872</v>
      </c>
      <c r="AL17" s="648">
        <f>+AM16*AH17</f>
        <v>0.24</v>
      </c>
      <c r="AM17" s="648">
        <f>+AM16-AL17</f>
        <v>0.36</v>
      </c>
      <c r="AN17" s="822"/>
      <c r="AO17" s="623" t="s">
        <v>59</v>
      </c>
      <c r="AP17" s="638"/>
      <c r="AQ17" s="638"/>
      <c r="AR17" s="259"/>
      <c r="AS17" s="397"/>
      <c r="AT17" s="397"/>
      <c r="AU17" s="397"/>
      <c r="AV17" s="397"/>
      <c r="AW17" s="397"/>
      <c r="AX17" s="397"/>
      <c r="AY17" s="397"/>
      <c r="AZ17" s="397"/>
      <c r="BA17" s="397"/>
      <c r="BB17" s="397"/>
      <c r="BC17" s="397"/>
      <c r="BD17" s="397"/>
      <c r="BE17" s="397"/>
    </row>
    <row r="18" spans="1:57" ht="97.5" customHeight="1" thickBot="1">
      <c r="A18" s="376" t="s">
        <v>51</v>
      </c>
      <c r="B18" s="175" t="s">
        <v>541</v>
      </c>
      <c r="C18" s="175" t="s">
        <v>58</v>
      </c>
      <c r="D18" s="175" t="s">
        <v>79</v>
      </c>
      <c r="E18" s="175" t="s">
        <v>80</v>
      </c>
      <c r="F18" s="563" t="s">
        <v>1133</v>
      </c>
      <c r="G18" s="393" t="s">
        <v>457</v>
      </c>
      <c r="H18" s="382" t="s">
        <v>543</v>
      </c>
      <c r="I18" s="379" t="s">
        <v>544</v>
      </c>
      <c r="J18" s="213" t="s">
        <v>95</v>
      </c>
      <c r="K18" s="211">
        <v>1</v>
      </c>
      <c r="L18" s="173">
        <f t="shared" si="8"/>
        <v>0.5</v>
      </c>
      <c r="M18" s="211" t="s">
        <v>47</v>
      </c>
      <c r="N18" s="394">
        <f t="shared" si="1"/>
        <v>0.4</v>
      </c>
      <c r="O18" s="214" t="s">
        <v>76</v>
      </c>
      <c r="P18" s="394">
        <f t="shared" si="2"/>
        <v>0.8</v>
      </c>
      <c r="Q18" s="211" t="s">
        <v>73</v>
      </c>
      <c r="R18" s="394">
        <f t="shared" si="3"/>
        <v>0</v>
      </c>
      <c r="S18" s="426" t="s">
        <v>60</v>
      </c>
      <c r="T18" s="215" t="s">
        <v>73</v>
      </c>
      <c r="U18" s="395">
        <f t="shared" si="4"/>
        <v>0.8</v>
      </c>
      <c r="V18" s="425" t="str">
        <f t="shared" si="9"/>
        <v>Media</v>
      </c>
      <c r="W18" s="395">
        <f>+IFERROR(VLOOKUP(V18,formulas!$F$1:$G$6,2,FALSE),"")</f>
        <v>0.6</v>
      </c>
      <c r="X18" s="351" t="str">
        <f t="shared" si="10"/>
        <v>Mayor</v>
      </c>
      <c r="Y18" s="395">
        <f>+IFERROR(VLOOKUP(X18,formulas!$H$1:$I$6,2,FALSE),"")</f>
        <v>0.8</v>
      </c>
      <c r="Z18" s="351" t="str">
        <f>+IFERROR(VLOOKUP(V18&amp;X18,formulas!$C$2:$D$26,2,FALSE),"")</f>
        <v>Alto</v>
      </c>
      <c r="AA18" s="395">
        <f t="shared" si="5"/>
        <v>0.75</v>
      </c>
      <c r="AB18" s="254"/>
      <c r="AC18" s="605" t="s">
        <v>545</v>
      </c>
      <c r="AD18" s="400" t="s">
        <v>57</v>
      </c>
      <c r="AE18" s="173">
        <f t="shared" si="0"/>
        <v>0.25</v>
      </c>
      <c r="AF18" s="211" t="s">
        <v>229</v>
      </c>
      <c r="AG18" s="173">
        <f t="shared" si="6"/>
        <v>0.15</v>
      </c>
      <c r="AH18" s="173">
        <f t="shared" si="7"/>
        <v>0.4</v>
      </c>
      <c r="AI18" s="532" t="s">
        <v>230</v>
      </c>
      <c r="AJ18" s="211" t="s">
        <v>24</v>
      </c>
      <c r="AK18" s="211" t="s">
        <v>546</v>
      </c>
      <c r="AL18" s="205">
        <f t="shared" si="11"/>
        <v>0.30000000000000004</v>
      </c>
      <c r="AM18" s="205">
        <f t="shared" si="12"/>
        <v>0.44999999999999996</v>
      </c>
      <c r="AN18" s="351" t="str">
        <f>+IF(C18="Corrupción","Moderado",IF(AM18&lt;=25%,"Bajo",IF(AM18&lt;=50%,"Moderado",IF(AM18&lt;=75%,"Alto",IF(AM18&gt;75%,"Extremo","")))))</f>
        <v>Moderado</v>
      </c>
      <c r="AO18" s="174" t="s">
        <v>59</v>
      </c>
      <c r="AP18" s="212"/>
      <c r="AQ18" s="393"/>
      <c r="AR18" s="506"/>
      <c r="AS18" s="401"/>
      <c r="AT18" s="401"/>
      <c r="AU18" s="401"/>
      <c r="AV18" s="401"/>
      <c r="AW18" s="401"/>
      <c r="AX18" s="401"/>
      <c r="AY18" s="401"/>
      <c r="AZ18" s="401"/>
      <c r="BA18" s="401"/>
      <c r="BB18" s="401"/>
      <c r="BC18" s="401"/>
      <c r="BD18" s="401"/>
      <c r="BE18" s="401"/>
    </row>
    <row r="19" spans="1:57" ht="54" customHeight="1" thickBot="1">
      <c r="A19" s="381" t="s">
        <v>231</v>
      </c>
      <c r="B19" s="379" t="s">
        <v>29</v>
      </c>
      <c r="C19" s="379" t="s">
        <v>92</v>
      </c>
      <c r="D19" s="379" t="s">
        <v>79</v>
      </c>
      <c r="E19" s="379" t="s">
        <v>36</v>
      </c>
      <c r="F19" s="581" t="s">
        <v>547</v>
      </c>
      <c r="G19" s="379" t="s">
        <v>548</v>
      </c>
      <c r="H19" s="382" t="s">
        <v>549</v>
      </c>
      <c r="I19" s="379" t="s">
        <v>550</v>
      </c>
      <c r="J19" s="379" t="s">
        <v>66</v>
      </c>
      <c r="K19" s="379">
        <v>1</v>
      </c>
      <c r="L19" s="173">
        <f t="shared" si="8"/>
        <v>8.3333333333333329E-2</v>
      </c>
      <c r="M19" s="379" t="s">
        <v>73</v>
      </c>
      <c r="N19" s="383">
        <f t="shared" si="1"/>
        <v>0</v>
      </c>
      <c r="O19" s="379" t="s">
        <v>31</v>
      </c>
      <c r="P19" s="383">
        <f t="shared" si="2"/>
        <v>0.2</v>
      </c>
      <c r="Q19" s="379" t="s">
        <v>73</v>
      </c>
      <c r="R19" s="383">
        <f t="shared" si="3"/>
        <v>0</v>
      </c>
      <c r="S19" s="384" t="s">
        <v>60</v>
      </c>
      <c r="T19" s="384" t="s">
        <v>45</v>
      </c>
      <c r="U19" s="385">
        <f t="shared" si="4"/>
        <v>0.2</v>
      </c>
      <c r="V19" s="425" t="str">
        <f t="shared" si="9"/>
        <v>Muy baja</v>
      </c>
      <c r="W19" s="385">
        <f>+IFERROR(VLOOKUP(V19,formulas!$F$1:$G$6,2,FALSE),"")</f>
        <v>0.2</v>
      </c>
      <c r="X19" s="351" t="str">
        <f t="shared" si="10"/>
        <v>Leve</v>
      </c>
      <c r="Y19" s="385">
        <f>+IFERROR(VLOOKUP(X19,formulas!$H$1:$I$6,2,FALSE),"")</f>
        <v>0.2</v>
      </c>
      <c r="Z19" s="351" t="str">
        <f>+IFERROR(VLOOKUP(V19&amp;X19,formulas!$C$2:$D$26,2,FALSE),"")</f>
        <v>Bajo</v>
      </c>
      <c r="AA19" s="385">
        <f t="shared" si="5"/>
        <v>0.25</v>
      </c>
      <c r="AB19" s="383" t="s">
        <v>551</v>
      </c>
      <c r="AC19" s="400" t="s">
        <v>552</v>
      </c>
      <c r="AD19" s="400" t="s">
        <v>57</v>
      </c>
      <c r="AE19" s="173">
        <f t="shared" si="0"/>
        <v>0.25</v>
      </c>
      <c r="AF19" s="379" t="s">
        <v>553</v>
      </c>
      <c r="AG19" s="173">
        <f t="shared" si="6"/>
        <v>0.25</v>
      </c>
      <c r="AH19" s="173">
        <f t="shared" si="7"/>
        <v>0.5</v>
      </c>
      <c r="AI19" s="532"/>
      <c r="AJ19" s="379" t="s">
        <v>24</v>
      </c>
      <c r="AK19" s="379" t="s">
        <v>554</v>
      </c>
      <c r="AL19" s="205">
        <f t="shared" si="11"/>
        <v>0.125</v>
      </c>
      <c r="AM19" s="205">
        <f t="shared" si="12"/>
        <v>0.125</v>
      </c>
      <c r="AN19" s="351" t="str">
        <f>+IF(C19="Corrupción","Moderado",IF(AM19&lt;=25%,"Bajo",IF(AM19&lt;=50%,"Moderado",IF(AM19&lt;=75%,"Alto",IF(AM19&gt;75%,"Extremo","")))))</f>
        <v>Bajo</v>
      </c>
      <c r="AO19" s="174" t="s">
        <v>59</v>
      </c>
      <c r="AP19" s="211"/>
      <c r="AQ19" s="175"/>
      <c r="AR19" s="492"/>
      <c r="AS19" s="401"/>
      <c r="AT19" s="401"/>
      <c r="AU19" s="401"/>
      <c r="AV19" s="401"/>
      <c r="AW19" s="401"/>
      <c r="AX19" s="401"/>
      <c r="AY19" s="401"/>
      <c r="AZ19" s="401"/>
      <c r="BA19" s="401"/>
      <c r="BB19" s="401"/>
      <c r="BC19" s="401"/>
      <c r="BD19" s="401"/>
      <c r="BE19" s="401"/>
    </row>
  </sheetData>
  <mergeCells count="196">
    <mergeCell ref="G3:H3"/>
    <mergeCell ref="AJ3:AK3"/>
    <mergeCell ref="AL2:AN3"/>
    <mergeCell ref="AO2:AO3"/>
    <mergeCell ref="AO4:AO5"/>
    <mergeCell ref="S4:S5"/>
    <mergeCell ref="AM1:AO1"/>
    <mergeCell ref="G4:G5"/>
    <mergeCell ref="H4:H5"/>
    <mergeCell ref="I4:I5"/>
    <mergeCell ref="J4:J5"/>
    <mergeCell ref="K4:K5"/>
    <mergeCell ref="R6:R7"/>
    <mergeCell ref="R8:R9"/>
    <mergeCell ref="L4:L5"/>
    <mergeCell ref="AN4:AN5"/>
    <mergeCell ref="N4:N5"/>
    <mergeCell ref="O4:O5"/>
    <mergeCell ref="AR2:AR3"/>
    <mergeCell ref="A6:A7"/>
    <mergeCell ref="B6:B7"/>
    <mergeCell ref="C6:C7"/>
    <mergeCell ref="D6:D7"/>
    <mergeCell ref="E6:E7"/>
    <mergeCell ref="F6:F7"/>
    <mergeCell ref="Q4:Q5"/>
    <mergeCell ref="R4:R5"/>
    <mergeCell ref="A1:T2"/>
    <mergeCell ref="U1:AB2"/>
    <mergeCell ref="X4:X5"/>
    <mergeCell ref="Y4:Y5"/>
    <mergeCell ref="Z4:Z5"/>
    <mergeCell ref="AA4:AA5"/>
    <mergeCell ref="AB4:AB5"/>
    <mergeCell ref="AP1:AU1"/>
    <mergeCell ref="P4:P5"/>
    <mergeCell ref="T4:T5"/>
    <mergeCell ref="U4:U5"/>
    <mergeCell ref="AV1:BE1"/>
    <mergeCell ref="AC2:AC3"/>
    <mergeCell ref="AD2:AG2"/>
    <mergeCell ref="AH2:AH3"/>
    <mergeCell ref="AI2:AK2"/>
    <mergeCell ref="AU2:AU3"/>
    <mergeCell ref="AT2:AT3"/>
    <mergeCell ref="AC1:AK1"/>
    <mergeCell ref="AV2:AZ2"/>
    <mergeCell ref="BA2:BE2"/>
    <mergeCell ref="AP2:AQ3"/>
    <mergeCell ref="V4:V5"/>
    <mergeCell ref="W4:W5"/>
    <mergeCell ref="AS2:AS3"/>
    <mergeCell ref="M8:M9"/>
    <mergeCell ref="J6:J7"/>
    <mergeCell ref="K6:K7"/>
    <mergeCell ref="L6:L7"/>
    <mergeCell ref="M6:M7"/>
    <mergeCell ref="P6:P7"/>
    <mergeCell ref="O6:O7"/>
    <mergeCell ref="N6:N7"/>
    <mergeCell ref="N8:N9"/>
    <mergeCell ref="P8:P9"/>
    <mergeCell ref="J8:J9"/>
    <mergeCell ref="K8:K9"/>
    <mergeCell ref="O8:O9"/>
    <mergeCell ref="F8:F9"/>
    <mergeCell ref="M12:M13"/>
    <mergeCell ref="M14:M15"/>
    <mergeCell ref="M16:M17"/>
    <mergeCell ref="A4:A5"/>
    <mergeCell ref="B4:B5"/>
    <mergeCell ref="C4:C5"/>
    <mergeCell ref="D4:D5"/>
    <mergeCell ref="E4:E5"/>
    <mergeCell ref="F4:F5"/>
    <mergeCell ref="L8:L9"/>
    <mergeCell ref="M4:M5"/>
    <mergeCell ref="G8:G9"/>
    <mergeCell ref="H8:H9"/>
    <mergeCell ref="I8:I9"/>
    <mergeCell ref="G6:G7"/>
    <mergeCell ref="H6:H7"/>
    <mergeCell ref="I6:I7"/>
    <mergeCell ref="A8:A9"/>
    <mergeCell ref="B8:B9"/>
    <mergeCell ref="C8:C9"/>
    <mergeCell ref="D8:D9"/>
    <mergeCell ref="E8:E9"/>
    <mergeCell ref="A16:A17"/>
    <mergeCell ref="B16:B17"/>
    <mergeCell ref="C16:C17"/>
    <mergeCell ref="D16:D17"/>
    <mergeCell ref="E16:E17"/>
    <mergeCell ref="G16:G17"/>
    <mergeCell ref="H12:H13"/>
    <mergeCell ref="I12:I13"/>
    <mergeCell ref="H14:H15"/>
    <mergeCell ref="I14:I15"/>
    <mergeCell ref="A12:A13"/>
    <mergeCell ref="B12:B13"/>
    <mergeCell ref="C12:C13"/>
    <mergeCell ref="D12:D13"/>
    <mergeCell ref="E12:E13"/>
    <mergeCell ref="G12:G13"/>
    <mergeCell ref="A14:A15"/>
    <mergeCell ref="B14:B15"/>
    <mergeCell ref="C14:C15"/>
    <mergeCell ref="D14:D15"/>
    <mergeCell ref="E14:E15"/>
    <mergeCell ref="G14:G15"/>
    <mergeCell ref="O12:O13"/>
    <mergeCell ref="O14:O15"/>
    <mergeCell ref="O16:O17"/>
    <mergeCell ref="H16:H17"/>
    <mergeCell ref="I16:I17"/>
    <mergeCell ref="J16:J17"/>
    <mergeCell ref="L12:L13"/>
    <mergeCell ref="L14:L15"/>
    <mergeCell ref="L16:L17"/>
    <mergeCell ref="J12:J13"/>
    <mergeCell ref="N12:N13"/>
    <mergeCell ref="N14:N15"/>
    <mergeCell ref="N16:N17"/>
    <mergeCell ref="J14:J15"/>
    <mergeCell ref="K14:K15"/>
    <mergeCell ref="K12:K13"/>
    <mergeCell ref="K16:K17"/>
    <mergeCell ref="P12:P13"/>
    <mergeCell ref="P14:P15"/>
    <mergeCell ref="P16:P17"/>
    <mergeCell ref="Q6:Q7"/>
    <mergeCell ref="Q8:Q9"/>
    <mergeCell ref="Q12:Q13"/>
    <mergeCell ref="Q14:Q15"/>
    <mergeCell ref="Q16:Q17"/>
    <mergeCell ref="U6:U7"/>
    <mergeCell ref="U8:U9"/>
    <mergeCell ref="U12:U13"/>
    <mergeCell ref="U14:U15"/>
    <mergeCell ref="U16:U17"/>
    <mergeCell ref="S6:S7"/>
    <mergeCell ref="T6:T7"/>
    <mergeCell ref="S8:S9"/>
    <mergeCell ref="T8:T9"/>
    <mergeCell ref="S12:S13"/>
    <mergeCell ref="R12:R13"/>
    <mergeCell ref="R14:R15"/>
    <mergeCell ref="R16:R17"/>
    <mergeCell ref="S14:S15"/>
    <mergeCell ref="T14:T15"/>
    <mergeCell ref="S16:S17"/>
    <mergeCell ref="T16:T17"/>
    <mergeCell ref="T12:T13"/>
    <mergeCell ref="V8:V9"/>
    <mergeCell ref="V12:V13"/>
    <mergeCell ref="V14:V15"/>
    <mergeCell ref="V16:V17"/>
    <mergeCell ref="W6:W7"/>
    <mergeCell ref="W8:W9"/>
    <mergeCell ref="W12:W13"/>
    <mergeCell ref="W14:W15"/>
    <mergeCell ref="W16:W17"/>
    <mergeCell ref="V6:V7"/>
    <mergeCell ref="Z12:Z13"/>
    <mergeCell ref="Z14:Z15"/>
    <mergeCell ref="Z16:Z17"/>
    <mergeCell ref="X6:X7"/>
    <mergeCell ref="X8:X9"/>
    <mergeCell ref="X12:X13"/>
    <mergeCell ref="X14:X15"/>
    <mergeCell ref="X16:X17"/>
    <mergeCell ref="AN6:AN7"/>
    <mergeCell ref="AN8:AN9"/>
    <mergeCell ref="AN12:AN13"/>
    <mergeCell ref="AA6:AA7"/>
    <mergeCell ref="AA8:AA9"/>
    <mergeCell ref="AA12:AA13"/>
    <mergeCell ref="AA14:AA15"/>
    <mergeCell ref="AA16:AA17"/>
    <mergeCell ref="Y8:Y9"/>
    <mergeCell ref="Y12:Y13"/>
    <mergeCell ref="Y14:Y15"/>
    <mergeCell ref="Y16:Y17"/>
    <mergeCell ref="Y6:Y7"/>
    <mergeCell ref="Z6:Z7"/>
    <mergeCell ref="Z8:Z9"/>
    <mergeCell ref="AO12:AO13"/>
    <mergeCell ref="AO8:AO9"/>
    <mergeCell ref="AO6:AO7"/>
    <mergeCell ref="AN14:AN15"/>
    <mergeCell ref="AN16:AN17"/>
    <mergeCell ref="AB6:AB7"/>
    <mergeCell ref="AB8:AB9"/>
    <mergeCell ref="AB12:AB13"/>
    <mergeCell ref="AB14:AB15"/>
    <mergeCell ref="AB16:AB17"/>
  </mergeCells>
  <conditionalFormatting sqref="V4 V6 V8 V10:V12 V14 V16 V18:V19">
    <cfRule type="expression" dxfId="106" priority="61" stopIfTrue="1">
      <formula>NOT(ISERROR(SEARCH("Muy alta",V4)))</formula>
    </cfRule>
    <cfRule type="expression" dxfId="105" priority="62" stopIfTrue="1">
      <formula>NOT(ISERROR(SEARCH("Alta",V4)))</formula>
    </cfRule>
    <cfRule type="expression" dxfId="104" priority="63" stopIfTrue="1">
      <formula>NOT(ISERROR(SEARCH("Media",V4)))</formula>
    </cfRule>
  </conditionalFormatting>
  <conditionalFormatting sqref="X4 X6 X8 X10:X12 X14 X16 X18:X19">
    <cfRule type="containsText" dxfId="103" priority="9" operator="containsText" text="Catastrófico">
      <formula>NOT(ISERROR(SEARCH("Catastrófico",X4)))</formula>
    </cfRule>
    <cfRule type="containsText" dxfId="102" priority="10" operator="containsText" text="Mayor">
      <formula>NOT(ISERROR(SEARCH("Mayor",X4)))</formula>
    </cfRule>
    <cfRule type="containsText" dxfId="101" priority="11" operator="containsText" text="Moderado">
      <formula>NOT(ISERROR(SEARCH("Moderado",X4)))</formula>
    </cfRule>
    <cfRule type="containsText" dxfId="100" priority="12" operator="containsText" text="Menor">
      <formula>NOT(ISERROR(SEARCH("Menor",X4)))</formula>
    </cfRule>
    <cfRule type="containsText" dxfId="99" priority="13" operator="containsText" text="Leve">
      <formula>NOT(ISERROR(SEARCH("Leve",X4)))</formula>
    </cfRule>
  </conditionalFormatting>
  <conditionalFormatting sqref="Z4 Z6 Z8 Z10:Z12 Z14 Z16 Z18:Z19">
    <cfRule type="containsText" dxfId="98" priority="5" operator="containsText" text="Alto">
      <formula>NOT(ISERROR(SEARCH("Alto",Z4)))</formula>
    </cfRule>
    <cfRule type="containsText" dxfId="97" priority="6" operator="containsText" text="Moderado">
      <formula>NOT(ISERROR(SEARCH("Moderado",Z4)))</formula>
    </cfRule>
    <cfRule type="containsText" dxfId="96" priority="7" operator="containsText" text="Extremo">
      <formula>NOT(ISERROR(SEARCH("Extremo",Z4)))</formula>
    </cfRule>
    <cfRule type="containsText" dxfId="95" priority="8" operator="containsText" text="Bajo">
      <formula>NOT(ISERROR(SEARCH("Bajo",Z4)))</formula>
    </cfRule>
  </conditionalFormatting>
  <conditionalFormatting sqref="AF6">
    <cfRule type="containsText" dxfId="94" priority="52" operator="containsText" text="BAJA">
      <formula>NOT(ISERROR(SEARCH("BAJA",AF6)))</formula>
    </cfRule>
    <cfRule type="containsText" dxfId="93" priority="53" operator="containsText" text="MEDIA">
      <formula>NOT(ISERROR(SEARCH("MEDIA",AF6)))</formula>
    </cfRule>
    <cfRule type="containsText" dxfId="92" priority="54" operator="containsText" text="ALTA">
      <formula>NOT(ISERROR(SEARCH("ALTA",AF6)))</formula>
    </cfRule>
  </conditionalFormatting>
  <conditionalFormatting sqref="AF8:AF9">
    <cfRule type="containsText" dxfId="91" priority="49" operator="containsText" text="BAJA">
      <formula>NOT(ISERROR(SEARCH("BAJA",AF8)))</formula>
    </cfRule>
    <cfRule type="containsText" dxfId="90" priority="50" operator="containsText" text="MEDIA">
      <formula>NOT(ISERROR(SEARCH("MEDIA",AF8)))</formula>
    </cfRule>
    <cfRule type="containsText" dxfId="89" priority="51" operator="containsText" text="ALTA">
      <formula>NOT(ISERROR(SEARCH("ALTA",AF8)))</formula>
    </cfRule>
  </conditionalFormatting>
  <conditionalFormatting sqref="AI4">
    <cfRule type="containsText" dxfId="88" priority="58" operator="containsText" text="BAJA">
      <formula>NOT(ISERROR(SEARCH("BAJA",AI4)))</formula>
    </cfRule>
    <cfRule type="containsText" dxfId="87" priority="59" operator="containsText" text="MEDIA">
      <formula>NOT(ISERROR(SEARCH("MEDIA",AI4)))</formula>
    </cfRule>
    <cfRule type="containsText" dxfId="86" priority="60" operator="containsText" text="ALTA">
      <formula>NOT(ISERROR(SEARCH("ALTA",AI4)))</formula>
    </cfRule>
  </conditionalFormatting>
  <conditionalFormatting sqref="AJ8:AK9">
    <cfRule type="containsText" dxfId="85" priority="33" operator="containsText" text="ALTA">
      <formula>NOT(ISERROR(SEARCH("ALTA",AJ8)))</formula>
    </cfRule>
  </conditionalFormatting>
  <conditionalFormatting sqref="AJ8:AK11">
    <cfRule type="containsText" dxfId="84" priority="31" operator="containsText" text="BAJA">
      <formula>NOT(ISERROR(SEARCH("BAJA",AJ8)))</formula>
    </cfRule>
    <cfRule type="containsText" dxfId="83" priority="32" operator="containsText" text="MEDIA">
      <formula>NOT(ISERROR(SEARCH("MEDIA",AJ8)))</formula>
    </cfRule>
  </conditionalFormatting>
  <conditionalFormatting sqref="AJ11:AK11">
    <cfRule type="containsText" dxfId="82" priority="38" operator="containsText" text="ALTA">
      <formula>NOT(ISERROR(SEARCH("ALTA",AJ11)))</formula>
    </cfRule>
  </conditionalFormatting>
  <conditionalFormatting sqref="AK6">
    <cfRule type="containsText" dxfId="81" priority="34" operator="containsText" text="BAJA">
      <formula>NOT(ISERROR(SEARCH("BAJA",AK6)))</formula>
    </cfRule>
    <cfRule type="containsText" dxfId="80" priority="35" operator="containsText" text="MEDIA">
      <formula>NOT(ISERROR(SEARCH("MEDIA",AK6)))</formula>
    </cfRule>
    <cfRule type="containsText" dxfId="79" priority="36" operator="containsText" text="ALTA">
      <formula>NOT(ISERROR(SEARCH("ALTA",AK6)))</formula>
    </cfRule>
  </conditionalFormatting>
  <conditionalFormatting sqref="AK10">
    <cfRule type="containsText" dxfId="78" priority="37" operator="containsText" text="ALTA">
      <formula>NOT(ISERROR(SEARCH("ALTA",AK10)))</formula>
    </cfRule>
  </conditionalFormatting>
  <conditionalFormatting sqref="AP8:AR9">
    <cfRule type="containsText" dxfId="77" priority="22" operator="containsText" text="BAJA">
      <formula>NOT(ISERROR(SEARCH("BAJA",AP8)))</formula>
    </cfRule>
    <cfRule type="containsText" dxfId="76" priority="23" operator="containsText" text="MEDIA">
      <formula>NOT(ISERROR(SEARCH("MEDIA",AP8)))</formula>
    </cfRule>
    <cfRule type="containsText" dxfId="75" priority="24" operator="containsText" text="ALTA">
      <formula>NOT(ISERROR(SEARCH("ALTA",AP8)))</formula>
    </cfRule>
  </conditionalFormatting>
  <conditionalFormatting sqref="AR8:AR9">
    <cfRule type="containsText" dxfId="74" priority="19" operator="containsText" text="BAJA">
      <formula>NOT(ISERROR(SEARCH("BAJA",AR8)))</formula>
    </cfRule>
    <cfRule type="containsText" dxfId="73" priority="20" operator="containsText" text="MEDIA">
      <formula>NOT(ISERROR(SEARCH("MEDIA",AR8)))</formula>
    </cfRule>
    <cfRule type="containsText" dxfId="72" priority="21" operator="containsText" text="ALTA">
      <formula>NOT(ISERROR(SEARCH("ALTA",AR8)))</formula>
    </cfRule>
  </conditionalFormatting>
  <conditionalFormatting sqref="AR11">
    <cfRule type="containsText" dxfId="71" priority="28" operator="containsText" text="BAJA">
      <formula>NOT(ISERROR(SEARCH("BAJA",AR11)))</formula>
    </cfRule>
    <cfRule type="containsText" dxfId="70" priority="29" operator="containsText" text="MEDIA">
      <formula>NOT(ISERROR(SEARCH("MEDIA",AR11)))</formula>
    </cfRule>
    <cfRule type="containsText" dxfId="69" priority="30" operator="containsText" text="ALTA">
      <formula>NOT(ISERROR(SEARCH("ALTA",AR11)))</formula>
    </cfRule>
  </conditionalFormatting>
  <dataValidations count="3">
    <dataValidation type="list" allowBlank="1" showInputMessage="1" showErrorMessage="1" sqref="AI4:AI19">
      <formula1>"Confiable,No confiable"</formula1>
    </dataValidation>
    <dataValidation type="list" allowBlank="1" showInputMessage="1" showErrorMessage="1" sqref="AF4:AF19">
      <formula1>"Manual,Automático"</formula1>
    </dataValidation>
    <dataValidation type="list" allowBlank="1" showInputMessage="1" showErrorMessage="1" sqref="A4:A19">
      <formula1>"SI,NO"</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
  <sheetViews>
    <sheetView topLeftCell="J1" zoomScale="25" zoomScaleNormal="25" workbookViewId="0">
      <selection activeCell="AI4" sqref="AI4"/>
    </sheetView>
  </sheetViews>
  <sheetFormatPr baseColWidth="10" defaultColWidth="9.140625" defaultRowHeight="81" customHeight="1"/>
  <cols>
    <col min="1" max="1" width="11.42578125" customWidth="1"/>
    <col min="2" max="2" width="21.28515625" customWidth="1"/>
    <col min="3" max="3" width="11.42578125" customWidth="1"/>
    <col min="4" max="4" width="17.28515625" customWidth="1"/>
    <col min="5" max="5" width="20" customWidth="1"/>
    <col min="6" max="6" width="64.140625" style="582" customWidth="1"/>
    <col min="7" max="7" width="11.42578125" customWidth="1"/>
    <col min="8" max="8" width="75" customWidth="1"/>
    <col min="9" max="9" width="51.42578125" customWidth="1"/>
    <col min="10" max="12" width="11.42578125" customWidth="1"/>
    <col min="13" max="13" width="21.28515625" customWidth="1"/>
    <col min="14" max="14" width="11.42578125" customWidth="1"/>
    <col min="15" max="15" width="23.5703125" customWidth="1"/>
    <col min="16" max="23" width="11.42578125" customWidth="1"/>
    <col min="24" max="24" width="17.7109375" customWidth="1"/>
    <col min="25" max="27" width="11.42578125" customWidth="1"/>
    <col min="28" max="28" width="77.28515625" customWidth="1"/>
    <col min="29" max="29" width="85.28515625" customWidth="1"/>
    <col min="30" max="31" width="11.42578125" customWidth="1"/>
    <col min="32" max="32" width="16" customWidth="1"/>
    <col min="33" max="36" width="11.42578125" customWidth="1"/>
    <col min="37" max="37" width="23.5703125" customWidth="1"/>
    <col min="38" max="38" width="11.42578125" customWidth="1"/>
    <col min="39" max="39" width="14.28515625" customWidth="1"/>
    <col min="40" max="41" width="11.42578125" customWidth="1"/>
    <col min="42" max="42" width="4" customWidth="1"/>
    <col min="43" max="43" width="23.140625" customWidth="1"/>
    <col min="44" max="44" width="21.28515625" customWidth="1"/>
    <col min="45" max="45" width="20.85546875" customWidth="1"/>
    <col min="46" max="46" width="28.85546875" customWidth="1"/>
    <col min="47" max="256" width="11.42578125" customWidth="1"/>
  </cols>
  <sheetData>
    <row r="1" spans="1:59" ht="27"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27"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ht="76.900000000000006" customHeight="1">
      <c r="A3" s="669" t="s">
        <v>199</v>
      </c>
      <c r="B3" s="669" t="s">
        <v>144</v>
      </c>
      <c r="C3" s="669" t="s">
        <v>6</v>
      </c>
      <c r="D3" s="669" t="s">
        <v>1</v>
      </c>
      <c r="E3" s="669" t="s">
        <v>2</v>
      </c>
      <c r="F3" s="569" t="s">
        <v>200</v>
      </c>
      <c r="G3" s="957" t="s">
        <v>201</v>
      </c>
      <c r="H3" s="957"/>
      <c r="I3" s="669" t="s">
        <v>202</v>
      </c>
      <c r="J3" s="669" t="s">
        <v>16</v>
      </c>
      <c r="K3" s="669" t="s">
        <v>203</v>
      </c>
      <c r="L3" s="669" t="s">
        <v>204</v>
      </c>
      <c r="M3" s="669" t="s">
        <v>13</v>
      </c>
      <c r="N3" s="669" t="s">
        <v>176</v>
      </c>
      <c r="O3" s="669" t="s">
        <v>14</v>
      </c>
      <c r="P3" s="669" t="s">
        <v>176</v>
      </c>
      <c r="Q3" s="669" t="s">
        <v>15</v>
      </c>
      <c r="R3" s="669" t="s">
        <v>176</v>
      </c>
      <c r="S3" s="669" t="s">
        <v>205</v>
      </c>
      <c r="T3" s="669" t="s">
        <v>11</v>
      </c>
      <c r="U3" s="96" t="s">
        <v>206</v>
      </c>
      <c r="V3" s="97" t="s">
        <v>207</v>
      </c>
      <c r="W3" s="96" t="s">
        <v>176</v>
      </c>
      <c r="X3" s="97" t="s">
        <v>208</v>
      </c>
      <c r="Y3" s="96" t="s">
        <v>176</v>
      </c>
      <c r="Z3" s="97" t="s">
        <v>209</v>
      </c>
      <c r="AA3" s="97" t="s">
        <v>176</v>
      </c>
      <c r="AB3" s="97" t="s">
        <v>210</v>
      </c>
      <c r="AC3" s="956"/>
      <c r="AD3" s="668" t="s">
        <v>5</v>
      </c>
      <c r="AE3" s="98" t="s">
        <v>211</v>
      </c>
      <c r="AF3" s="668" t="s">
        <v>212</v>
      </c>
      <c r="AG3" s="668" t="s">
        <v>211</v>
      </c>
      <c r="AH3" s="956"/>
      <c r="AI3" s="668" t="s">
        <v>213</v>
      </c>
      <c r="AJ3" s="956" t="s">
        <v>7</v>
      </c>
      <c r="AK3" s="956"/>
      <c r="AL3" s="960"/>
      <c r="AM3" s="960"/>
      <c r="AN3" s="960"/>
      <c r="AO3" s="960"/>
      <c r="AP3" s="958"/>
      <c r="AQ3" s="958"/>
      <c r="AR3" s="958"/>
      <c r="AS3" s="958"/>
      <c r="AT3" s="958"/>
      <c r="AU3" s="958"/>
      <c r="AV3" s="99" t="s">
        <v>217</v>
      </c>
      <c r="AW3" s="99" t="s">
        <v>218</v>
      </c>
      <c r="AX3" s="99" t="s">
        <v>219</v>
      </c>
      <c r="AY3" s="100" t="s">
        <v>220</v>
      </c>
      <c r="AZ3" s="100" t="s">
        <v>221</v>
      </c>
      <c r="BA3" s="99" t="s">
        <v>217</v>
      </c>
      <c r="BB3" s="99" t="s">
        <v>218</v>
      </c>
      <c r="BC3" s="99" t="s">
        <v>219</v>
      </c>
      <c r="BD3" s="100" t="s">
        <v>220</v>
      </c>
      <c r="BE3" s="100" t="s">
        <v>221</v>
      </c>
      <c r="BF3" s="101"/>
      <c r="BG3" s="101"/>
    </row>
    <row r="4" spans="1:59" ht="99" customHeight="1">
      <c r="A4" s="928" t="s">
        <v>51</v>
      </c>
      <c r="B4" s="1190" t="s">
        <v>108</v>
      </c>
      <c r="C4" s="1190" t="s">
        <v>92</v>
      </c>
      <c r="D4" s="1190" t="s">
        <v>12</v>
      </c>
      <c r="E4" s="1190" t="s">
        <v>36</v>
      </c>
      <c r="F4" s="1198" t="s">
        <v>1134</v>
      </c>
      <c r="G4" s="1204" t="s">
        <v>1135</v>
      </c>
      <c r="H4" s="1201" t="s">
        <v>1136</v>
      </c>
      <c r="I4" s="1198" t="s">
        <v>1137</v>
      </c>
      <c r="J4" s="1190" t="s">
        <v>66</v>
      </c>
      <c r="K4" s="1190">
        <v>3</v>
      </c>
      <c r="L4" s="616">
        <f>IF(J4="Diaria",+(K4/360),IF(J4="Semanal",+(K4/52),IF(J4="Mensual",+(K4/12),IF(J4="Bimestral",+(K4/6),IF(J4="Trimestral",+(K4/4),IF(J4="Semestral",+(K4/2),IF(J4="Anual",+(K4/1),"")))))))</f>
        <v>0.25</v>
      </c>
      <c r="M4" s="1190" t="s">
        <v>30</v>
      </c>
      <c r="N4" s="1182">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0.2</v>
      </c>
      <c r="O4" s="1190"/>
      <c r="P4" s="1182" t="str">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
      </c>
      <c r="Q4" s="1190" t="s">
        <v>73</v>
      </c>
      <c r="R4" s="1182">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928" t="s">
        <v>60</v>
      </c>
      <c r="T4" s="928" t="s">
        <v>73</v>
      </c>
      <c r="U4" s="1182">
        <f>+MAX(N4,P4,R4)</f>
        <v>0.2</v>
      </c>
      <c r="V4" s="912" t="str">
        <f>IF(L4&lt;=20%,"Muy baja",IF(L4&lt;=40%,"Baja",IF(L4&lt;=60%,"Media",IF(L4&lt;=80%,"Alta",IF(L4&lt;=100%,"Muy alta",IF(L4&gt;=100%,"Muy alta",""))))))</f>
        <v>Baja</v>
      </c>
      <c r="W4" s="1182">
        <f>+IFERROR(VLOOKUP(V4,formulas!$F$1:$G$6,2,FALSE),"")</f>
        <v>0.4</v>
      </c>
      <c r="X4" s="911" t="str">
        <f>IF(U4=20%,"Leve",IF(U4=40%,"Menor",IF(U4=60%,"Moderado",IF(U4=80%,"Mayor",IF(U4=100%,"Catastrófico","")))))</f>
        <v>Leve</v>
      </c>
      <c r="Y4" s="1182">
        <f>+IFERROR(VLOOKUP(X4,formulas!$H$1:$I$6,2,FALSE),"")</f>
        <v>0.2</v>
      </c>
      <c r="Z4" s="911" t="str">
        <f>+IFERROR(VLOOKUP(V4&amp;X4,formulas!$C$2:$D$26,2,FALSE),"")</f>
        <v>Bajo</v>
      </c>
      <c r="AA4" s="1182">
        <f>IF(Z4="Bajo",25%,IF(Z4="Moderado",50%,IF(Z4="Alto",75%,IF(Z4="Extremo",100%,""))))</f>
        <v>0.25</v>
      </c>
      <c r="AB4" s="1179" t="s">
        <v>1138</v>
      </c>
      <c r="AC4" s="1179" t="s">
        <v>1139</v>
      </c>
      <c r="AD4" s="731" t="s">
        <v>57</v>
      </c>
      <c r="AE4" s="656">
        <f t="shared" ref="AE4:AE15" si="0">IF(AD4="Preventivo",25%,IF(AD4="Detectivo",15%,IF(AD4="Correctivo",10%,"")))</f>
        <v>0.25</v>
      </c>
      <c r="AF4" s="731" t="s">
        <v>229</v>
      </c>
      <c r="AG4" s="656">
        <f>IF(AF4="Manual",15%,IF(AF4="Automático",25%,""))</f>
        <v>0.15</v>
      </c>
      <c r="AH4" s="656">
        <f>+AG4+AE4</f>
        <v>0.4</v>
      </c>
      <c r="AI4" s="613"/>
      <c r="AJ4" s="1204" t="s">
        <v>24</v>
      </c>
      <c r="AK4" s="1204" t="s">
        <v>442</v>
      </c>
      <c r="AL4" s="647">
        <f>+AA4*AH4</f>
        <v>0.1</v>
      </c>
      <c r="AM4" s="647">
        <f>+AA4-AL4</f>
        <v>0.15</v>
      </c>
      <c r="AN4" s="911" t="str">
        <f>+IF(C4="Corrupción","Moderado",IF(AM6&lt;=25%,"Bajo",IF(AM6&lt;=50%,"Moderado",IF(AM6&lt;=75%,"Alto",IF(AM6&gt;75%,"Extremo","")))))</f>
        <v>Bajo</v>
      </c>
      <c r="AO4" s="928" t="s">
        <v>59</v>
      </c>
      <c r="AP4" s="201">
        <v>1</v>
      </c>
      <c r="AQ4" s="1190" t="s">
        <v>1140</v>
      </c>
      <c r="AR4" s="1195" t="s">
        <v>1141</v>
      </c>
      <c r="AS4" s="1223">
        <v>46023</v>
      </c>
      <c r="AT4" s="1226">
        <v>46387</v>
      </c>
      <c r="AU4" s="1229" t="s">
        <v>1142</v>
      </c>
      <c r="AV4" s="1190"/>
      <c r="AW4" s="1190"/>
      <c r="AX4" s="1190"/>
      <c r="AY4" s="1190"/>
      <c r="AZ4" s="1190"/>
      <c r="BA4" s="1190"/>
      <c r="BB4" s="1190"/>
      <c r="BC4" s="1190"/>
      <c r="BD4" s="1190"/>
      <c r="BE4" s="1190"/>
      <c r="BF4" s="1190"/>
      <c r="BG4" s="1190"/>
    </row>
    <row r="5" spans="1:59" ht="81" customHeight="1">
      <c r="A5" s="1142"/>
      <c r="B5" s="1191"/>
      <c r="C5" s="1191"/>
      <c r="D5" s="1191"/>
      <c r="E5" s="1191"/>
      <c r="F5" s="1199"/>
      <c r="G5" s="1205"/>
      <c r="H5" s="1202"/>
      <c r="I5" s="1199"/>
      <c r="J5" s="1191"/>
      <c r="K5" s="1191"/>
      <c r="L5" s="616" t="str">
        <f t="shared" ref="L5:L15" si="1">IF(J5="Diaria",+(K5/360),IF(J5="Semanal",+(K5/52),IF(J5="Mensual",+(K5/12),IF(J5="Bimestral",+(K5/6),IF(J5="Trimestral",+(K5/4),IF(J5="Semestral",+(K5/2),IF(J5="Anual",+(K5/1),"")))))))</f>
        <v/>
      </c>
      <c r="M5" s="1191"/>
      <c r="N5" s="1183" t="str">
        <f t="shared" ref="N5:N15" si="2">IF(M5="Menor al 1% del patrimonio de la Lotería de Bogotá",20%,IF(M5="Entre el 1% y el 3% del patrimonio de la Lotería de Bogotá",40%,IF(M5="Entre el 3% y el 6% del patrimonio de la Lotería de Bogotá",60%,IF(M5="Entre el 6% y el 10% del patrimonio de la Lotería de Bogotá",80%,IF(M5="Mayor al 10% del patrimonio de la Lotería de Bogotá",100%,IF(M5="NA",0%,""))))))</f>
        <v/>
      </c>
      <c r="O5" s="1191"/>
      <c r="P5" s="1183" t="str">
        <f t="shared" ref="P5:P15" si="3">IF(O5="El riesgo afecta la imagen de algún área de la organización",20%,IF(O5="El riesgo afecta la imagen de la entidad internamente, de conocimiento general nivel interno, de junta directiva y accionistas y/o de proveedores",40%,IF(O5="El riesgo afecta la imagen de la entidad con algunos usuarios de relevancia frente al logro de los objetivos",60%,IF(O5="El riesgo afecta la imagen de la entidad con efecto publicitario sostenido a nivel de sector administrativo, nivel departamental o municipal",80%,IF(O5="El riesgo afecta la imagen de la entidad a nivel nacional, con efecto publicitario sostenido a nivel país",100%,IF(O5="NA",0%,""))))))</f>
        <v/>
      </c>
      <c r="Q5" s="1191"/>
      <c r="R5" s="1183" t="str">
        <f t="shared" ref="R5:R15" si="4">IF(Q5="Interrupción de la operación por menos de un día",20%,IF(Q5="Interrupción de la operación por un día completo",40%,IF(Q5="Interrupción de la operación mayor a 1 día y menor a 2 días",60%,IF(Q5="Interrupción de la operación por dos días completos",80%,IF(Q5="Interrupción de la operación por más de dos días",100%,IF(Q5="NA",0%,""))))))</f>
        <v/>
      </c>
      <c r="S5" s="1142"/>
      <c r="T5" s="1142"/>
      <c r="U5" s="1183">
        <f t="shared" ref="U5:U15" si="5">+MAX(N5,P5,R5)</f>
        <v>0</v>
      </c>
      <c r="V5" s="915"/>
      <c r="W5" s="1183" t="str">
        <f>+IFERROR(VLOOKUP(V5,formulas!$F$1:$G$6,2,FALSE),"")</f>
        <v/>
      </c>
      <c r="X5" s="821"/>
      <c r="Y5" s="1183" t="str">
        <f>+IFERROR(VLOOKUP(X5,formulas!$H$1:$I$6,2,FALSE),"")</f>
        <v/>
      </c>
      <c r="Z5" s="821"/>
      <c r="AA5" s="1183" t="str">
        <f t="shared" ref="AA5:AA15" si="6">IF(Z5="Bajo",25%,IF(Z5="Moderado",50%,IF(Z5="Alto",75%,IF(Z5="Extremo",100%,""))))</f>
        <v/>
      </c>
      <c r="AB5" s="1180"/>
      <c r="AC5" s="1180"/>
      <c r="AD5" s="731" t="s">
        <v>57</v>
      </c>
      <c r="AE5" s="656">
        <f t="shared" si="0"/>
        <v>0.25</v>
      </c>
      <c r="AF5" s="731" t="s">
        <v>229</v>
      </c>
      <c r="AG5" s="656">
        <f t="shared" ref="AG5:AG15" si="7">IF(AF5="Manual",15%,IF(AF5="Automático",25%,""))</f>
        <v>0.15</v>
      </c>
      <c r="AH5" s="656">
        <f t="shared" ref="AH5:AH15" si="8">+AG5+AE5</f>
        <v>0.4</v>
      </c>
      <c r="AI5" s="403"/>
      <c r="AJ5" s="1205"/>
      <c r="AK5" s="1205"/>
      <c r="AL5" s="647">
        <f>+AM4*AH5</f>
        <v>0.06</v>
      </c>
      <c r="AM5" s="647">
        <f>+AM4-AL5</f>
        <v>0.09</v>
      </c>
      <c r="AN5" s="821"/>
      <c r="AO5" s="1142"/>
      <c r="AP5" s="201">
        <v>2</v>
      </c>
      <c r="AQ5" s="1191"/>
      <c r="AR5" s="1196"/>
      <c r="AS5" s="1224"/>
      <c r="AT5" s="1227"/>
      <c r="AU5" s="1230"/>
      <c r="AV5" s="1191"/>
      <c r="AW5" s="1191"/>
      <c r="AX5" s="1191"/>
      <c r="AY5" s="1191"/>
      <c r="AZ5" s="1191"/>
      <c r="BA5" s="1191"/>
      <c r="BB5" s="1191"/>
      <c r="BC5" s="1191"/>
      <c r="BD5" s="1191"/>
      <c r="BE5" s="1191"/>
      <c r="BF5" s="1191"/>
      <c r="BG5" s="1191"/>
    </row>
    <row r="6" spans="1:59" ht="81" customHeight="1" thickBot="1">
      <c r="A6" s="929"/>
      <c r="B6" s="1167"/>
      <c r="C6" s="1167"/>
      <c r="D6" s="1167"/>
      <c r="E6" s="1167"/>
      <c r="F6" s="1200"/>
      <c r="G6" s="1206"/>
      <c r="H6" s="1203"/>
      <c r="I6" s="1200"/>
      <c r="J6" s="1167"/>
      <c r="K6" s="1167"/>
      <c r="L6" s="617" t="str">
        <f t="shared" si="1"/>
        <v/>
      </c>
      <c r="M6" s="1167"/>
      <c r="N6" s="1044" t="str">
        <f t="shared" si="2"/>
        <v/>
      </c>
      <c r="O6" s="1167"/>
      <c r="P6" s="1044" t="str">
        <f t="shared" si="3"/>
        <v/>
      </c>
      <c r="Q6" s="1167"/>
      <c r="R6" s="1044" t="str">
        <f t="shared" si="4"/>
        <v/>
      </c>
      <c r="S6" s="929"/>
      <c r="T6" s="929"/>
      <c r="U6" s="1044">
        <f t="shared" si="5"/>
        <v>0</v>
      </c>
      <c r="V6" s="913"/>
      <c r="W6" s="1044" t="str">
        <f>+IFERROR(VLOOKUP(V6,formulas!$F$1:$G$6,2,FALSE),"")</f>
        <v/>
      </c>
      <c r="X6" s="822"/>
      <c r="Y6" s="1044" t="str">
        <f>+IFERROR(VLOOKUP(X6,formulas!$H$1:$I$6,2,FALSE),"")</f>
        <v/>
      </c>
      <c r="Z6" s="822"/>
      <c r="AA6" s="1044" t="str">
        <f t="shared" si="6"/>
        <v/>
      </c>
      <c r="AB6" s="945"/>
      <c r="AC6" s="1181"/>
      <c r="AD6" s="629" t="s">
        <v>57</v>
      </c>
      <c r="AE6" s="657">
        <f t="shared" si="0"/>
        <v>0.25</v>
      </c>
      <c r="AF6" s="629" t="s">
        <v>229</v>
      </c>
      <c r="AG6" s="657">
        <f t="shared" si="7"/>
        <v>0.15</v>
      </c>
      <c r="AH6" s="657">
        <f t="shared" si="8"/>
        <v>0.4</v>
      </c>
      <c r="AI6" s="397"/>
      <c r="AJ6" s="1206"/>
      <c r="AK6" s="1206"/>
      <c r="AL6" s="648">
        <f>+AM5*AH6</f>
        <v>3.5999999999999997E-2</v>
      </c>
      <c r="AM6" s="648">
        <f>+AM5-AL6</f>
        <v>5.3999999999999999E-2</v>
      </c>
      <c r="AN6" s="822"/>
      <c r="AO6" s="929"/>
      <c r="AP6" s="638">
        <v>3</v>
      </c>
      <c r="AQ6" s="1167"/>
      <c r="AR6" s="1197"/>
      <c r="AS6" s="1225"/>
      <c r="AT6" s="1228"/>
      <c r="AU6" s="1231"/>
      <c r="AV6" s="1167"/>
      <c r="AW6" s="1167"/>
      <c r="AX6" s="1167"/>
      <c r="AY6" s="1167"/>
      <c r="AZ6" s="1167"/>
      <c r="BA6" s="1167"/>
      <c r="BB6" s="1167"/>
      <c r="BC6" s="1167"/>
      <c r="BD6" s="1167"/>
      <c r="BE6" s="1167"/>
      <c r="BF6" s="1167"/>
      <c r="BG6" s="1167"/>
    </row>
    <row r="7" spans="1:59" ht="81" customHeight="1">
      <c r="A7" s="826" t="s">
        <v>51</v>
      </c>
      <c r="B7" s="814" t="s">
        <v>108</v>
      </c>
      <c r="C7" s="814" t="s">
        <v>92</v>
      </c>
      <c r="D7" s="814" t="s">
        <v>12</v>
      </c>
      <c r="E7" s="814" t="s">
        <v>36</v>
      </c>
      <c r="F7" s="828" t="s">
        <v>1143</v>
      </c>
      <c r="G7" s="814" t="s">
        <v>1144</v>
      </c>
      <c r="H7" s="1193" t="s">
        <v>1145</v>
      </c>
      <c r="I7" s="1193" t="s">
        <v>1146</v>
      </c>
      <c r="J7" s="1216" t="s">
        <v>66</v>
      </c>
      <c r="K7" s="1218">
        <v>3</v>
      </c>
      <c r="L7" s="945">
        <f t="shared" si="1"/>
        <v>0.25</v>
      </c>
      <c r="M7" s="1218" t="s">
        <v>30</v>
      </c>
      <c r="N7" s="1159">
        <f t="shared" si="2"/>
        <v>0.2</v>
      </c>
      <c r="O7" s="1215" t="s">
        <v>64</v>
      </c>
      <c r="P7" s="817">
        <f t="shared" si="3"/>
        <v>0.6</v>
      </c>
      <c r="Q7" s="814" t="s">
        <v>73</v>
      </c>
      <c r="R7" s="1043">
        <f t="shared" si="4"/>
        <v>0</v>
      </c>
      <c r="S7" s="1165" t="s">
        <v>73</v>
      </c>
      <c r="T7" s="826" t="s">
        <v>61</v>
      </c>
      <c r="U7" s="817">
        <f t="shared" si="5"/>
        <v>0.6</v>
      </c>
      <c r="V7" s="914" t="str">
        <f t="shared" ref="V7:V15" si="9">IF(L7&lt;=20%,"Muy baja",IF(L7&lt;=40%,"Baja",IF(L7&lt;=60%,"Media",IF(L7&lt;=80%,"Alta",IF(L7&lt;=100%,"Muy alta",IF(L7&gt;=100%,"Muy alta",""))))))</f>
        <v>Baja</v>
      </c>
      <c r="W7" s="817">
        <f>+IFERROR(VLOOKUP(V7,formulas!$F$1:$G$6,2,FALSE),"")</f>
        <v>0.4</v>
      </c>
      <c r="X7" s="820" t="str">
        <f t="shared" ref="X7:X15" si="10">IF(U7=20%,"Leve",IF(U7=40%,"Menor",IF(U7=60%,"Moderado",IF(U7=80%,"Mayor",IF(U7=100%,"Catastrófico","")))))</f>
        <v>Moderado</v>
      </c>
      <c r="Y7" s="817">
        <f>+IFERROR(VLOOKUP(X7,formulas!$H$1:$I$6,2,FALSE),"")</f>
        <v>0.6</v>
      </c>
      <c r="Z7" s="820" t="str">
        <f>+IFERROR(VLOOKUP(V7&amp;X7,formulas!$C$2:$D$26,2,FALSE),"")</f>
        <v>Moderado</v>
      </c>
      <c r="AA7" s="817">
        <f t="shared" si="6"/>
        <v>0.5</v>
      </c>
      <c r="AB7" s="945" t="s">
        <v>1147</v>
      </c>
      <c r="AC7" s="1188" t="s">
        <v>1148</v>
      </c>
      <c r="AD7" s="838" t="s">
        <v>57</v>
      </c>
      <c r="AE7" s="953">
        <f t="shared" si="0"/>
        <v>0.25</v>
      </c>
      <c r="AF7" s="838" t="s">
        <v>229</v>
      </c>
      <c r="AG7" s="953">
        <f>IF(AF7="Manual",15%,IF(AF7="Automático",25%,""))</f>
        <v>0.15</v>
      </c>
      <c r="AH7" s="953">
        <f>+AG7+AE7</f>
        <v>0.4</v>
      </c>
      <c r="AI7" s="399"/>
      <c r="AJ7" s="838" t="s">
        <v>24</v>
      </c>
      <c r="AK7" s="838" t="s">
        <v>1149</v>
      </c>
      <c r="AL7" s="690">
        <f t="shared" ref="AL7:AL15" si="11">+AA7*AH7</f>
        <v>0.2</v>
      </c>
      <c r="AM7" s="690">
        <f t="shared" ref="AM7:AM15" si="12">+AA7-AL7</f>
        <v>0.3</v>
      </c>
      <c r="AN7" s="820" t="str">
        <f>+IF(C78="Corrupción","Moderado",IF(AM8&lt;=25%,"Bajo",IF(AM8&lt;=50%,"Moderado",IF(AM8&lt;=75%,"Alto",IF(AM8&gt;75%,"Extremo","")))))</f>
        <v>Bajo</v>
      </c>
      <c r="AO7" s="826" t="s">
        <v>59</v>
      </c>
      <c r="AP7" s="1221">
        <v>1</v>
      </c>
      <c r="AQ7" s="1232" t="s">
        <v>1150</v>
      </c>
      <c r="AR7" s="1209" t="s">
        <v>1151</v>
      </c>
      <c r="AS7" s="1210">
        <v>45658</v>
      </c>
      <c r="AT7" s="1212"/>
      <c r="AU7" s="1212"/>
      <c r="AV7" s="1212"/>
      <c r="AW7" s="1212"/>
      <c r="AX7" s="1212"/>
      <c r="AY7" s="1212"/>
      <c r="AZ7" s="1212"/>
      <c r="BA7" s="1212"/>
      <c r="BB7" s="1212"/>
      <c r="BC7" s="1212"/>
      <c r="BD7" s="1212"/>
      <c r="BE7" s="1212"/>
      <c r="BF7" s="1212"/>
      <c r="BG7" s="1212"/>
    </row>
    <row r="8" spans="1:59" ht="153" customHeight="1" thickBot="1">
      <c r="A8" s="827"/>
      <c r="B8" s="816"/>
      <c r="C8" s="816"/>
      <c r="D8" s="816"/>
      <c r="E8" s="816"/>
      <c r="F8" s="829"/>
      <c r="G8" s="816"/>
      <c r="H8" s="1194"/>
      <c r="I8" s="1194"/>
      <c r="J8" s="1217"/>
      <c r="K8" s="1217"/>
      <c r="L8" s="946" t="str">
        <f t="shared" si="1"/>
        <v/>
      </c>
      <c r="M8" s="1217"/>
      <c r="N8" s="819" t="str">
        <f t="shared" si="2"/>
        <v/>
      </c>
      <c r="O8" s="816"/>
      <c r="P8" s="819" t="str">
        <f t="shared" si="3"/>
        <v/>
      </c>
      <c r="Q8" s="816"/>
      <c r="R8" s="1044" t="str">
        <f t="shared" si="4"/>
        <v/>
      </c>
      <c r="S8" s="929"/>
      <c r="T8" s="827"/>
      <c r="U8" s="819">
        <f t="shared" si="5"/>
        <v>0</v>
      </c>
      <c r="V8" s="913"/>
      <c r="W8" s="819" t="str">
        <f>+IFERROR(VLOOKUP(V8,formulas!$F$1:$G$6,2,FALSE),"")</f>
        <v/>
      </c>
      <c r="X8" s="822"/>
      <c r="Y8" s="819" t="str">
        <f>+IFERROR(VLOOKUP(X8,formulas!$H$1:$I$6,2,FALSE),"")</f>
        <v/>
      </c>
      <c r="Z8" s="822"/>
      <c r="AA8" s="819" t="str">
        <f t="shared" si="6"/>
        <v/>
      </c>
      <c r="AB8" s="946"/>
      <c r="AC8" s="1189"/>
      <c r="AD8" s="839"/>
      <c r="AE8" s="927"/>
      <c r="AF8" s="839"/>
      <c r="AG8" s="927"/>
      <c r="AH8" s="927"/>
      <c r="AI8" s="397"/>
      <c r="AJ8" s="839"/>
      <c r="AK8" s="839"/>
      <c r="AL8" s="648">
        <f>+AM7*AH7</f>
        <v>0.12</v>
      </c>
      <c r="AM8" s="648">
        <f>+AM7-AL8</f>
        <v>0.18</v>
      </c>
      <c r="AN8" s="822"/>
      <c r="AO8" s="827"/>
      <c r="AP8" s="1222"/>
      <c r="AQ8" s="1203"/>
      <c r="AR8" s="1206"/>
      <c r="AS8" s="1211"/>
      <c r="AT8" s="1213"/>
      <c r="AU8" s="1213"/>
      <c r="AV8" s="1213"/>
      <c r="AW8" s="1213"/>
      <c r="AX8" s="1213"/>
      <c r="AY8" s="1213"/>
      <c r="AZ8" s="1213"/>
      <c r="BA8" s="1213"/>
      <c r="BB8" s="1213"/>
      <c r="BC8" s="1213"/>
      <c r="BD8" s="1213"/>
      <c r="BE8" s="1213"/>
      <c r="BF8" s="1213"/>
      <c r="BG8" s="1213"/>
    </row>
    <row r="9" spans="1:59" ht="162" customHeight="1">
      <c r="A9" s="855" t="s">
        <v>51</v>
      </c>
      <c r="B9" s="857" t="s">
        <v>108</v>
      </c>
      <c r="C9" s="857" t="s">
        <v>92</v>
      </c>
      <c r="D9" s="857" t="s">
        <v>12</v>
      </c>
      <c r="E9" s="814" t="s">
        <v>36</v>
      </c>
      <c r="F9" s="828" t="s">
        <v>1152</v>
      </c>
      <c r="G9" s="814" t="s">
        <v>1153</v>
      </c>
      <c r="H9" s="1193" t="s">
        <v>1154</v>
      </c>
      <c r="I9" s="1193" t="s">
        <v>1155</v>
      </c>
      <c r="J9" s="857" t="s">
        <v>99</v>
      </c>
      <c r="K9" s="857">
        <v>1</v>
      </c>
      <c r="L9" s="817">
        <f t="shared" si="1"/>
        <v>1</v>
      </c>
      <c r="M9" s="814" t="s">
        <v>30</v>
      </c>
      <c r="N9" s="1177">
        <f t="shared" si="2"/>
        <v>0.2</v>
      </c>
      <c r="O9" s="814" t="s">
        <v>64</v>
      </c>
      <c r="P9" s="1214">
        <f t="shared" si="3"/>
        <v>0.6</v>
      </c>
      <c r="Q9" s="1192" t="s">
        <v>73</v>
      </c>
      <c r="R9" s="1177">
        <f t="shared" si="4"/>
        <v>0</v>
      </c>
      <c r="S9" s="876" t="s">
        <v>60</v>
      </c>
      <c r="T9" s="826" t="s">
        <v>61</v>
      </c>
      <c r="U9" s="1177">
        <f t="shared" si="5"/>
        <v>0.6</v>
      </c>
      <c r="V9" s="914" t="str">
        <f t="shared" si="9"/>
        <v>Muy alta</v>
      </c>
      <c r="W9" s="1177">
        <f>+IFERROR(VLOOKUP(V9,formulas!$F$1:$G$6,2,FALSE),"")</f>
        <v>1</v>
      </c>
      <c r="X9" s="820" t="str">
        <f t="shared" si="10"/>
        <v>Moderado</v>
      </c>
      <c r="Y9" s="1177">
        <f>+IFERROR(VLOOKUP(X9,formulas!$H$1:$I$6,2,FALSE),"")</f>
        <v>0.6</v>
      </c>
      <c r="Z9" s="820" t="str">
        <f>+IFERROR(VLOOKUP(V9&amp;X9,formulas!$C$2:$D$26,2,FALSE),"")</f>
        <v>Alto</v>
      </c>
      <c r="AA9" s="1177">
        <f t="shared" si="6"/>
        <v>0.75</v>
      </c>
      <c r="AB9" s="857"/>
      <c r="AC9" s="1184" t="s">
        <v>1156</v>
      </c>
      <c r="AD9" s="628" t="s">
        <v>57</v>
      </c>
      <c r="AE9" s="667">
        <f t="shared" si="0"/>
        <v>0.25</v>
      </c>
      <c r="AF9" s="628" t="s">
        <v>229</v>
      </c>
      <c r="AG9" s="667">
        <f t="shared" si="7"/>
        <v>0.15</v>
      </c>
      <c r="AH9" s="667">
        <f t="shared" si="8"/>
        <v>0.4</v>
      </c>
      <c r="AI9" s="399"/>
      <c r="AJ9" s="628" t="s">
        <v>24</v>
      </c>
      <c r="AK9" s="628" t="s">
        <v>442</v>
      </c>
      <c r="AL9" s="690">
        <f t="shared" si="11"/>
        <v>0.30000000000000004</v>
      </c>
      <c r="AM9" s="690">
        <f t="shared" si="12"/>
        <v>0.44999999999999996</v>
      </c>
      <c r="AN9" s="820" t="str">
        <f>+IF(C9="Corrupción","Moderado",IF(AM10&lt;=25%,"Bajo",IF(AM10&lt;=50%,"Moderado",IF(AM10&lt;=75%,"Alto",IF(AM10&gt;75%,"Extremo","")))))</f>
        <v>Moderado</v>
      </c>
      <c r="AO9" s="826" t="s">
        <v>59</v>
      </c>
      <c r="AP9" s="1186">
        <v>1</v>
      </c>
      <c r="AQ9" s="1166" t="s">
        <v>446</v>
      </c>
      <c r="AR9" s="1209" t="s">
        <v>1157</v>
      </c>
      <c r="AS9" s="1210">
        <v>45658</v>
      </c>
      <c r="AT9" s="1219"/>
      <c r="AU9" s="1219"/>
      <c r="AV9" s="1219"/>
      <c r="AW9" s="1219"/>
      <c r="AX9" s="1219"/>
      <c r="AY9" s="1219"/>
      <c r="AZ9" s="1219"/>
      <c r="BA9" s="1219"/>
      <c r="BB9" s="1219"/>
      <c r="BC9" s="1219"/>
      <c r="BD9" s="1219"/>
      <c r="BE9" s="1219"/>
      <c r="BF9" s="1219"/>
      <c r="BG9" s="1219"/>
    </row>
    <row r="10" spans="1:59" ht="81" customHeight="1" thickBot="1">
      <c r="A10" s="856"/>
      <c r="B10" s="858"/>
      <c r="C10" s="858"/>
      <c r="D10" s="858"/>
      <c r="E10" s="816"/>
      <c r="F10" s="829"/>
      <c r="G10" s="816"/>
      <c r="H10" s="1194"/>
      <c r="I10" s="1194"/>
      <c r="J10" s="858"/>
      <c r="K10" s="858"/>
      <c r="L10" s="819" t="str">
        <f t="shared" si="1"/>
        <v/>
      </c>
      <c r="M10" s="816"/>
      <c r="N10" s="1178" t="str">
        <f t="shared" si="2"/>
        <v/>
      </c>
      <c r="O10" s="816"/>
      <c r="P10" s="1178" t="str">
        <f t="shared" si="3"/>
        <v/>
      </c>
      <c r="Q10" s="858"/>
      <c r="R10" s="1178" t="str">
        <f t="shared" si="4"/>
        <v/>
      </c>
      <c r="S10" s="877"/>
      <c r="T10" s="827"/>
      <c r="U10" s="1178">
        <f t="shared" si="5"/>
        <v>0</v>
      </c>
      <c r="V10" s="913"/>
      <c r="W10" s="1178" t="str">
        <f>+IFERROR(VLOOKUP(V10,formulas!$F$1:$G$6,2,FALSE),"")</f>
        <v/>
      </c>
      <c r="X10" s="822"/>
      <c r="Y10" s="1178" t="str">
        <f>+IFERROR(VLOOKUP(X10,formulas!$H$1:$I$6,2,FALSE),"")</f>
        <v/>
      </c>
      <c r="Z10" s="822"/>
      <c r="AA10" s="1178" t="str">
        <f t="shared" si="6"/>
        <v/>
      </c>
      <c r="AB10" s="858"/>
      <c r="AC10" s="1185"/>
      <c r="AD10" s="629" t="s">
        <v>57</v>
      </c>
      <c r="AE10" s="657">
        <f t="shared" si="0"/>
        <v>0.25</v>
      </c>
      <c r="AF10" s="629" t="s">
        <v>229</v>
      </c>
      <c r="AG10" s="657">
        <f t="shared" si="7"/>
        <v>0.15</v>
      </c>
      <c r="AH10" s="657">
        <f t="shared" si="8"/>
        <v>0.4</v>
      </c>
      <c r="AI10" s="397"/>
      <c r="AJ10" s="629" t="s">
        <v>24</v>
      </c>
      <c r="AK10" s="726" t="s">
        <v>1158</v>
      </c>
      <c r="AL10" s="648">
        <f>+AM9*AH10</f>
        <v>0.18</v>
      </c>
      <c r="AM10" s="648">
        <f>+AM9-AL10</f>
        <v>0.26999999999999996</v>
      </c>
      <c r="AN10" s="822"/>
      <c r="AO10" s="827"/>
      <c r="AP10" s="1187"/>
      <c r="AQ10" s="1167"/>
      <c r="AR10" s="1206"/>
      <c r="AS10" s="1211"/>
      <c r="AT10" s="1220"/>
      <c r="AU10" s="1220"/>
      <c r="AV10" s="1220"/>
      <c r="AW10" s="1220"/>
      <c r="AX10" s="1220"/>
      <c r="AY10" s="1220"/>
      <c r="AZ10" s="1220"/>
      <c r="BA10" s="1220"/>
      <c r="BB10" s="1220"/>
      <c r="BC10" s="1220"/>
      <c r="BD10" s="1220"/>
      <c r="BE10" s="1220"/>
      <c r="BF10" s="1220"/>
      <c r="BG10" s="1220"/>
    </row>
    <row r="11" spans="1:59" ht="81" customHeight="1">
      <c r="A11" s="855" t="s">
        <v>51</v>
      </c>
      <c r="B11" s="857" t="s">
        <v>108</v>
      </c>
      <c r="C11" s="857" t="s">
        <v>58</v>
      </c>
      <c r="D11" s="857" t="s">
        <v>79</v>
      </c>
      <c r="E11" s="814" t="s">
        <v>80</v>
      </c>
      <c r="F11" s="828" t="s">
        <v>1159</v>
      </c>
      <c r="G11" s="814" t="s">
        <v>408</v>
      </c>
      <c r="H11" s="828" t="s">
        <v>1160</v>
      </c>
      <c r="I11" s="828" t="s">
        <v>1161</v>
      </c>
      <c r="J11" s="857" t="s">
        <v>99</v>
      </c>
      <c r="K11" s="857">
        <v>1</v>
      </c>
      <c r="L11" s="817">
        <f t="shared" si="1"/>
        <v>1</v>
      </c>
      <c r="M11" s="814" t="s">
        <v>30</v>
      </c>
      <c r="N11" s="1177">
        <f t="shared" si="2"/>
        <v>0.2</v>
      </c>
      <c r="O11" s="814" t="s">
        <v>1162</v>
      </c>
      <c r="P11" s="1177" t="str">
        <f t="shared" si="3"/>
        <v/>
      </c>
      <c r="Q11" s="857" t="s">
        <v>73</v>
      </c>
      <c r="R11" s="1177">
        <f t="shared" si="4"/>
        <v>0</v>
      </c>
      <c r="S11" s="876" t="s">
        <v>60</v>
      </c>
      <c r="T11" s="876" t="s">
        <v>28</v>
      </c>
      <c r="U11" s="1177">
        <f t="shared" si="5"/>
        <v>0.2</v>
      </c>
      <c r="V11" s="914" t="str">
        <f t="shared" si="9"/>
        <v>Muy alta</v>
      </c>
      <c r="W11" s="1177">
        <f>+IFERROR(VLOOKUP(V11,formulas!$F$1:$G$6,2,FALSE),"")</f>
        <v>1</v>
      </c>
      <c r="X11" s="820" t="str">
        <f t="shared" si="10"/>
        <v>Leve</v>
      </c>
      <c r="Y11" s="1177">
        <f>+IFERROR(VLOOKUP(X11,formulas!$H$1:$I$6,2,FALSE),"")</f>
        <v>0.2</v>
      </c>
      <c r="Z11" s="820" t="str">
        <f>+IFERROR(VLOOKUP(V11&amp;X11,formulas!$C$2:$D$26,2,FALSE),"")</f>
        <v>Alto</v>
      </c>
      <c r="AA11" s="1177">
        <f t="shared" si="6"/>
        <v>0.75</v>
      </c>
      <c r="AB11" s="857"/>
      <c r="AC11" s="1186" t="s">
        <v>1163</v>
      </c>
      <c r="AD11" s="725" t="s">
        <v>57</v>
      </c>
      <c r="AE11" s="667">
        <f t="shared" si="0"/>
        <v>0.25</v>
      </c>
      <c r="AF11" s="404" t="s">
        <v>229</v>
      </c>
      <c r="AG11" s="667">
        <f t="shared" si="7"/>
        <v>0.15</v>
      </c>
      <c r="AH11" s="667">
        <f t="shared" si="8"/>
        <v>0.4</v>
      </c>
      <c r="AI11" s="399"/>
      <c r="AJ11" s="628" t="s">
        <v>24</v>
      </c>
      <c r="AK11" s="628" t="s">
        <v>442</v>
      </c>
      <c r="AL11" s="690">
        <f t="shared" si="11"/>
        <v>0.30000000000000004</v>
      </c>
      <c r="AM11" s="690">
        <f t="shared" si="12"/>
        <v>0.44999999999999996</v>
      </c>
      <c r="AN11" s="820" t="str">
        <f>+IF(C11="Corrupción","Moderado",IF(AM12&lt;=25%,"Bajo",IF(AM12&lt;=50%,"Moderado",IF(AM12&lt;=75%,"Alto",IF(AM12&gt;75%,"Extremo","")))))</f>
        <v>Moderado</v>
      </c>
      <c r="AO11" s="826" t="s">
        <v>59</v>
      </c>
      <c r="AP11" s="1186">
        <v>1</v>
      </c>
      <c r="AQ11" s="1207" t="s">
        <v>446</v>
      </c>
      <c r="AR11" s="1209" t="s">
        <v>1157</v>
      </c>
      <c r="AS11" s="1210">
        <v>45658</v>
      </c>
      <c r="AT11" s="1212"/>
      <c r="AU11" s="1212"/>
      <c r="AV11" s="1212"/>
      <c r="AW11" s="1212"/>
      <c r="AX11" s="1212"/>
      <c r="AY11" s="1212"/>
      <c r="AZ11" s="1212"/>
      <c r="BA11" s="1212"/>
      <c r="BB11" s="1212"/>
      <c r="BC11" s="1212"/>
      <c r="BD11" s="1212"/>
      <c r="BE11" s="1212"/>
      <c r="BF11" s="1212"/>
      <c r="BG11" s="1212"/>
    </row>
    <row r="12" spans="1:59" ht="81" customHeight="1" thickBot="1">
      <c r="A12" s="856"/>
      <c r="B12" s="858"/>
      <c r="C12" s="858"/>
      <c r="D12" s="858"/>
      <c r="E12" s="816"/>
      <c r="F12" s="829"/>
      <c r="G12" s="816"/>
      <c r="H12" s="829"/>
      <c r="I12" s="829"/>
      <c r="J12" s="858"/>
      <c r="K12" s="858"/>
      <c r="L12" s="819" t="str">
        <f t="shared" si="1"/>
        <v/>
      </c>
      <c r="M12" s="816"/>
      <c r="N12" s="1178" t="str">
        <f t="shared" si="2"/>
        <v/>
      </c>
      <c r="O12" s="816"/>
      <c r="P12" s="1178" t="str">
        <f t="shared" si="3"/>
        <v/>
      </c>
      <c r="Q12" s="858"/>
      <c r="R12" s="1178" t="str">
        <f t="shared" si="4"/>
        <v/>
      </c>
      <c r="S12" s="877"/>
      <c r="T12" s="877"/>
      <c r="U12" s="1178">
        <f t="shared" si="5"/>
        <v>0</v>
      </c>
      <c r="V12" s="913"/>
      <c r="W12" s="1178" t="str">
        <f>+IFERROR(VLOOKUP(V12,formulas!$F$1:$G$6,2,FALSE),"")</f>
        <v/>
      </c>
      <c r="X12" s="822"/>
      <c r="Y12" s="1178" t="str">
        <f>+IFERROR(VLOOKUP(X12,formulas!$H$1:$I$6,2,FALSE),"")</f>
        <v/>
      </c>
      <c r="Z12" s="822"/>
      <c r="AA12" s="1178" t="str">
        <f t="shared" si="6"/>
        <v/>
      </c>
      <c r="AB12" s="858"/>
      <c r="AC12" s="1187"/>
      <c r="AD12" s="726" t="s">
        <v>57</v>
      </c>
      <c r="AE12" s="657">
        <f t="shared" si="0"/>
        <v>0.25</v>
      </c>
      <c r="AF12" s="405" t="s">
        <v>229</v>
      </c>
      <c r="AG12" s="657">
        <f t="shared" si="7"/>
        <v>0.15</v>
      </c>
      <c r="AH12" s="657">
        <f t="shared" si="8"/>
        <v>0.4</v>
      </c>
      <c r="AI12" s="397"/>
      <c r="AJ12" s="629" t="s">
        <v>24</v>
      </c>
      <c r="AK12" s="726" t="s">
        <v>451</v>
      </c>
      <c r="AL12" s="648">
        <f>+AM11*AH12</f>
        <v>0.18</v>
      </c>
      <c r="AM12" s="648">
        <f>+AM11-AL12</f>
        <v>0.26999999999999996</v>
      </c>
      <c r="AN12" s="822"/>
      <c r="AO12" s="827"/>
      <c r="AP12" s="1187"/>
      <c r="AQ12" s="1208"/>
      <c r="AR12" s="1206"/>
      <c r="AS12" s="1211"/>
      <c r="AT12" s="1213"/>
      <c r="AU12" s="1213"/>
      <c r="AV12" s="1213"/>
      <c r="AW12" s="1213"/>
      <c r="AX12" s="1213"/>
      <c r="AY12" s="1213"/>
      <c r="AZ12" s="1213"/>
      <c r="BA12" s="1213"/>
      <c r="BB12" s="1213"/>
      <c r="BC12" s="1213"/>
      <c r="BD12" s="1213"/>
      <c r="BE12" s="1213"/>
      <c r="BF12" s="1213"/>
      <c r="BG12" s="1213"/>
    </row>
    <row r="13" spans="1:59" ht="148.5" customHeight="1" thickBot="1">
      <c r="A13" s="174" t="s">
        <v>231</v>
      </c>
      <c r="B13" s="175" t="s">
        <v>108</v>
      </c>
      <c r="C13" s="175" t="s">
        <v>92</v>
      </c>
      <c r="D13" s="175" t="s">
        <v>79</v>
      </c>
      <c r="E13" s="175" t="s">
        <v>36</v>
      </c>
      <c r="F13" s="564" t="s">
        <v>519</v>
      </c>
      <c r="G13" s="175" t="s">
        <v>520</v>
      </c>
      <c r="H13" s="175" t="s">
        <v>521</v>
      </c>
      <c r="I13" s="175" t="s">
        <v>522</v>
      </c>
      <c r="J13" s="175" t="s">
        <v>66</v>
      </c>
      <c r="K13" s="175">
        <v>1</v>
      </c>
      <c r="L13" s="204">
        <f t="shared" si="1"/>
        <v>8.3333333333333329E-2</v>
      </c>
      <c r="M13" s="175" t="s">
        <v>30</v>
      </c>
      <c r="N13" s="204">
        <f t="shared" si="2"/>
        <v>0.2</v>
      </c>
      <c r="O13" s="175" t="s">
        <v>64</v>
      </c>
      <c r="P13" s="204">
        <f t="shared" si="3"/>
        <v>0.6</v>
      </c>
      <c r="Q13" s="716" t="s">
        <v>73</v>
      </c>
      <c r="R13" s="689">
        <f t="shared" si="4"/>
        <v>0</v>
      </c>
      <c r="S13" s="174" t="s">
        <v>60</v>
      </c>
      <c r="T13" s="174" t="s">
        <v>45</v>
      </c>
      <c r="U13" s="204">
        <f t="shared" si="5"/>
        <v>0.6</v>
      </c>
      <c r="V13" s="425" t="str">
        <f t="shared" si="9"/>
        <v>Muy baja</v>
      </c>
      <c r="W13" s="204">
        <f>+IFERROR(VLOOKUP(V13,formulas!$F$1:$G$6,2,FALSE),"")</f>
        <v>0.2</v>
      </c>
      <c r="X13" s="351" t="str">
        <f t="shared" si="10"/>
        <v>Moderado</v>
      </c>
      <c r="Y13" s="204">
        <f>+IFERROR(VLOOKUP(X13,formulas!$H$1:$I$6,2,FALSE),"")</f>
        <v>0.6</v>
      </c>
      <c r="Z13" s="351" t="str">
        <f>+IFERROR(VLOOKUP(V13&amp;X13,formulas!$C$2:$D$26,2,FALSE),"")</f>
        <v>Moderado</v>
      </c>
      <c r="AA13" s="204">
        <f t="shared" si="6"/>
        <v>0.5</v>
      </c>
      <c r="AB13" s="204" t="s">
        <v>523</v>
      </c>
      <c r="AC13" s="210" t="s">
        <v>693</v>
      </c>
      <c r="AD13" s="175" t="s">
        <v>57</v>
      </c>
      <c r="AE13" s="173">
        <f t="shared" si="0"/>
        <v>0.25</v>
      </c>
      <c r="AF13" s="204" t="s">
        <v>229</v>
      </c>
      <c r="AG13" s="173">
        <f t="shared" si="7"/>
        <v>0.15</v>
      </c>
      <c r="AH13" s="173">
        <f t="shared" si="8"/>
        <v>0.4</v>
      </c>
      <c r="AI13" s="401"/>
      <c r="AJ13" s="175" t="s">
        <v>24</v>
      </c>
      <c r="AK13" s="175" t="s">
        <v>639</v>
      </c>
      <c r="AL13" s="205">
        <f t="shared" si="11"/>
        <v>0.2</v>
      </c>
      <c r="AM13" s="205">
        <f t="shared" si="12"/>
        <v>0.3</v>
      </c>
      <c r="AN13" s="351" t="str">
        <f>+IF(C13="Corrupción","Moderado",IF(AM13&lt;=25%,"Bajo",IF(AM13&lt;=50%,"Moderado",IF(AM13&lt;=75%,"Alto",IF(AM13&gt;75%,"Extremo","")))))</f>
        <v>Moderado</v>
      </c>
      <c r="AO13" s="174" t="s">
        <v>59</v>
      </c>
      <c r="AP13" s="174">
        <v>1</v>
      </c>
      <c r="AQ13" s="175" t="s">
        <v>525</v>
      </c>
      <c r="AR13" s="200" t="s">
        <v>169</v>
      </c>
      <c r="AS13" s="200">
        <v>45658</v>
      </c>
      <c r="AT13" s="401"/>
      <c r="AU13" s="401"/>
      <c r="AV13" s="401"/>
      <c r="AW13" s="401"/>
      <c r="AX13" s="401"/>
      <c r="AY13" s="401"/>
      <c r="AZ13" s="401"/>
      <c r="BA13" s="401"/>
      <c r="BB13" s="401"/>
      <c r="BC13" s="401"/>
      <c r="BD13" s="401"/>
      <c r="BE13" s="401"/>
      <c r="BF13" s="401"/>
      <c r="BG13" s="401"/>
    </row>
    <row r="14" spans="1:59" ht="324.75" customHeight="1" thickBot="1">
      <c r="A14" s="174" t="s">
        <v>51</v>
      </c>
      <c r="B14" s="175" t="s">
        <v>541</v>
      </c>
      <c r="C14" s="175" t="s">
        <v>58</v>
      </c>
      <c r="D14" s="175" t="s">
        <v>79</v>
      </c>
      <c r="E14" s="175" t="s">
        <v>80</v>
      </c>
      <c r="F14" s="564" t="s">
        <v>542</v>
      </c>
      <c r="G14" s="212" t="s">
        <v>457</v>
      </c>
      <c r="H14" s="564" t="s">
        <v>543</v>
      </c>
      <c r="I14" s="564" t="s">
        <v>544</v>
      </c>
      <c r="J14" s="213" t="s">
        <v>95</v>
      </c>
      <c r="K14" s="211">
        <v>1</v>
      </c>
      <c r="L14" s="394">
        <f t="shared" si="1"/>
        <v>0.5</v>
      </c>
      <c r="M14" s="211" t="s">
        <v>47</v>
      </c>
      <c r="N14" s="394">
        <f t="shared" si="2"/>
        <v>0.4</v>
      </c>
      <c r="O14" s="214" t="s">
        <v>76</v>
      </c>
      <c r="P14" s="394">
        <f t="shared" si="3"/>
        <v>0.8</v>
      </c>
      <c r="Q14" s="211" t="s">
        <v>73</v>
      </c>
      <c r="R14" s="394">
        <f t="shared" si="4"/>
        <v>0</v>
      </c>
      <c r="S14" s="215" t="s">
        <v>60</v>
      </c>
      <c r="T14" s="215" t="s">
        <v>73</v>
      </c>
      <c r="U14" s="394">
        <f t="shared" si="5"/>
        <v>0.8</v>
      </c>
      <c r="V14" s="425" t="str">
        <f t="shared" si="9"/>
        <v>Media</v>
      </c>
      <c r="W14" s="394">
        <f>+IFERROR(VLOOKUP(V14,formulas!$F$1:$G$6,2,FALSE),"")</f>
        <v>0.6</v>
      </c>
      <c r="X14" s="351" t="str">
        <f t="shared" si="10"/>
        <v>Mayor</v>
      </c>
      <c r="Y14" s="394">
        <f>+IFERROR(VLOOKUP(X14,formulas!$H$1:$I$6,2,FALSE),"")</f>
        <v>0.8</v>
      </c>
      <c r="Z14" s="351" t="str">
        <f>+IFERROR(VLOOKUP(V14&amp;X14,formulas!$C$2:$D$26,2,FALSE),"")</f>
        <v>Alto</v>
      </c>
      <c r="AA14" s="394">
        <f t="shared" si="6"/>
        <v>0.75</v>
      </c>
      <c r="AB14" s="205"/>
      <c r="AC14" s="742" t="s">
        <v>545</v>
      </c>
      <c r="AD14" s="211" t="s">
        <v>57</v>
      </c>
      <c r="AE14" s="173">
        <f t="shared" si="0"/>
        <v>0.25</v>
      </c>
      <c r="AF14" s="211" t="s">
        <v>229</v>
      </c>
      <c r="AG14" s="173">
        <f t="shared" si="7"/>
        <v>0.15</v>
      </c>
      <c r="AH14" s="173">
        <f t="shared" si="8"/>
        <v>0.4</v>
      </c>
      <c r="AI14" s="211" t="s">
        <v>230</v>
      </c>
      <c r="AJ14" s="211" t="s">
        <v>24</v>
      </c>
      <c r="AK14" s="211" t="s">
        <v>546</v>
      </c>
      <c r="AL14" s="205">
        <f t="shared" si="11"/>
        <v>0.30000000000000004</v>
      </c>
      <c r="AM14" s="205">
        <f t="shared" si="12"/>
        <v>0.44999999999999996</v>
      </c>
      <c r="AN14" s="351" t="str">
        <f>+IF(C14="Corrupción","Moderado",IF(AM14&lt;=25%,"Bajo",IF(AM14&lt;=50%,"Moderado",IF(AM14&lt;=75%,"Alto",IF(AM14&gt;75%,"Extremo","")))))</f>
        <v>Moderado</v>
      </c>
      <c r="AO14" s="174" t="s">
        <v>59</v>
      </c>
      <c r="AP14" s="174"/>
      <c r="AQ14" s="393"/>
      <c r="AR14" s="393"/>
      <c r="AS14" s="506"/>
      <c r="AT14" s="401"/>
      <c r="AU14" s="401"/>
      <c r="AV14" s="401"/>
      <c r="AW14" s="401"/>
      <c r="AX14" s="401"/>
      <c r="AY14" s="401"/>
      <c r="AZ14" s="401"/>
      <c r="BA14" s="401"/>
      <c r="BB14" s="401"/>
      <c r="BC14" s="401"/>
      <c r="BD14" s="401"/>
      <c r="BE14" s="401"/>
      <c r="BF14" s="401"/>
      <c r="BG14" s="401"/>
    </row>
    <row r="15" spans="1:59" ht="81" customHeight="1" thickBot="1">
      <c r="A15" s="174" t="s">
        <v>231</v>
      </c>
      <c r="B15" s="175" t="s">
        <v>29</v>
      </c>
      <c r="C15" s="175" t="s">
        <v>92</v>
      </c>
      <c r="D15" s="175" t="s">
        <v>79</v>
      </c>
      <c r="E15" s="175" t="s">
        <v>36</v>
      </c>
      <c r="F15" s="564" t="s">
        <v>547</v>
      </c>
      <c r="G15" s="175" t="s">
        <v>548</v>
      </c>
      <c r="H15" s="742" t="s">
        <v>549</v>
      </c>
      <c r="I15" s="175" t="s">
        <v>550</v>
      </c>
      <c r="J15" s="175" t="s">
        <v>66</v>
      </c>
      <c r="K15" s="175">
        <v>1</v>
      </c>
      <c r="L15" s="204">
        <f t="shared" si="1"/>
        <v>8.3333333333333329E-2</v>
      </c>
      <c r="M15" s="175" t="s">
        <v>73</v>
      </c>
      <c r="N15" s="204">
        <f t="shared" si="2"/>
        <v>0</v>
      </c>
      <c r="O15" s="175" t="s">
        <v>31</v>
      </c>
      <c r="P15" s="204">
        <f t="shared" si="3"/>
        <v>0.2</v>
      </c>
      <c r="Q15" s="175" t="s">
        <v>73</v>
      </c>
      <c r="R15" s="204">
        <f t="shared" si="4"/>
        <v>0</v>
      </c>
      <c r="S15" s="658" t="s">
        <v>60</v>
      </c>
      <c r="T15" s="174" t="s">
        <v>45</v>
      </c>
      <c r="U15" s="204">
        <f t="shared" si="5"/>
        <v>0.2</v>
      </c>
      <c r="V15" s="425" t="str">
        <f t="shared" si="9"/>
        <v>Muy baja</v>
      </c>
      <c r="W15" s="204">
        <f>+IFERROR(VLOOKUP(V15,formulas!$F$1:$G$6,2,FALSE),"")</f>
        <v>0.2</v>
      </c>
      <c r="X15" s="351" t="str">
        <f t="shared" si="10"/>
        <v>Leve</v>
      </c>
      <c r="Y15" s="204">
        <f>+IFERROR(VLOOKUP(X15,formulas!$H$1:$I$6,2,FALSE),"")</f>
        <v>0.2</v>
      </c>
      <c r="Z15" s="351" t="str">
        <f>+IFERROR(VLOOKUP(V15&amp;X15,formulas!$C$2:$D$26,2,FALSE),"")</f>
        <v>Bajo</v>
      </c>
      <c r="AA15" s="204">
        <f t="shared" si="6"/>
        <v>0.25</v>
      </c>
      <c r="AB15" s="204" t="s">
        <v>551</v>
      </c>
      <c r="AC15" s="742" t="s">
        <v>552</v>
      </c>
      <c r="AD15" s="175" t="s">
        <v>57</v>
      </c>
      <c r="AE15" s="173">
        <f t="shared" si="0"/>
        <v>0.25</v>
      </c>
      <c r="AF15" s="175" t="s">
        <v>553</v>
      </c>
      <c r="AG15" s="173">
        <f t="shared" si="7"/>
        <v>0.25</v>
      </c>
      <c r="AH15" s="173">
        <f t="shared" si="8"/>
        <v>0.5</v>
      </c>
      <c r="AI15" s="401"/>
      <c r="AJ15" s="175" t="s">
        <v>24</v>
      </c>
      <c r="AK15" s="175" t="s">
        <v>554</v>
      </c>
      <c r="AL15" s="205">
        <f t="shared" si="11"/>
        <v>0.125</v>
      </c>
      <c r="AM15" s="205">
        <f t="shared" si="12"/>
        <v>0.125</v>
      </c>
      <c r="AN15" s="351" t="str">
        <f>+IF(C15="Corrupción","Moderado",IF(AM15&lt;=25%,"Bajo",IF(AM15&lt;=50%,"Moderado",IF(AM15&lt;=75%,"Alto",IF(AM15&gt;75%,"Extremo","")))))</f>
        <v>Bajo</v>
      </c>
      <c r="AO15" s="174" t="s">
        <v>59</v>
      </c>
      <c r="AP15" s="206">
        <v>1</v>
      </c>
      <c r="AQ15" s="211"/>
      <c r="AR15" s="175"/>
      <c r="AS15" s="200"/>
      <c r="AT15" s="401"/>
      <c r="AU15" s="401"/>
      <c r="AV15" s="401"/>
      <c r="AW15" s="401"/>
      <c r="AX15" s="401"/>
      <c r="AY15" s="401"/>
      <c r="AZ15" s="401"/>
      <c r="BA15" s="401"/>
      <c r="BB15" s="401"/>
      <c r="BC15" s="401"/>
      <c r="BD15" s="401"/>
      <c r="BE15" s="401"/>
      <c r="BF15" s="401"/>
      <c r="BG15" s="401"/>
    </row>
  </sheetData>
  <mergeCells count="224">
    <mergeCell ref="BF4:BF6"/>
    <mergeCell ref="BG4:BG6"/>
    <mergeCell ref="BD7:BD8"/>
    <mergeCell ref="BE7:BE8"/>
    <mergeCell ref="BF7:BF8"/>
    <mergeCell ref="BG7:BG8"/>
    <mergeCell ref="AW7:AW8"/>
    <mergeCell ref="AY4:AY6"/>
    <mergeCell ref="AQ7:AQ8"/>
    <mergeCell ref="AR7:AR8"/>
    <mergeCell ref="AS7:AS8"/>
    <mergeCell ref="AT7:AT8"/>
    <mergeCell ref="AU7:AU8"/>
    <mergeCell ref="AV7:AV8"/>
    <mergeCell ref="BA7:BA8"/>
    <mergeCell ref="BG9:BG10"/>
    <mergeCell ref="AV9:AV10"/>
    <mergeCell ref="AW9:AW10"/>
    <mergeCell ref="AX9:AX10"/>
    <mergeCell ref="AY9:AY10"/>
    <mergeCell ref="AZ9:AZ10"/>
    <mergeCell ref="BA9:BA10"/>
    <mergeCell ref="AP7:AP8"/>
    <mergeCell ref="AJ4:AJ6"/>
    <mergeCell ref="AK4:AK6"/>
    <mergeCell ref="AX7:AX8"/>
    <mergeCell ref="AY7:AY8"/>
    <mergeCell ref="AZ7:AZ8"/>
    <mergeCell ref="BC4:BC6"/>
    <mergeCell ref="BD4:BD6"/>
    <mergeCell ref="AS4:AS6"/>
    <mergeCell ref="AT4:AT6"/>
    <mergeCell ref="AU4:AU6"/>
    <mergeCell ref="AV4:AV6"/>
    <mergeCell ref="AW4:AW6"/>
    <mergeCell ref="AX4:AX6"/>
    <mergeCell ref="BB7:BB8"/>
    <mergeCell ref="BC7:BC8"/>
    <mergeCell ref="BE4:BE6"/>
    <mergeCell ref="AT9:AT10"/>
    <mergeCell ref="AU9:AU10"/>
    <mergeCell ref="BB11:BB12"/>
    <mergeCell ref="BC11:BC12"/>
    <mergeCell ref="BD11:BD12"/>
    <mergeCell ref="BB9:BB10"/>
    <mergeCell ref="BC9:BC10"/>
    <mergeCell ref="BD9:BD10"/>
    <mergeCell ref="BF11:BF12"/>
    <mergeCell ref="BE9:BE10"/>
    <mergeCell ref="BF9:BF10"/>
    <mergeCell ref="BG11:BG12"/>
    <mergeCell ref="AV11:AV12"/>
    <mergeCell ref="AW11:AW12"/>
    <mergeCell ref="AX11:AX12"/>
    <mergeCell ref="AY11:AY12"/>
    <mergeCell ref="AZ11:AZ12"/>
    <mergeCell ref="BA11:BA12"/>
    <mergeCell ref="F7:F8"/>
    <mergeCell ref="G7:G8"/>
    <mergeCell ref="H7:H8"/>
    <mergeCell ref="I7:I8"/>
    <mergeCell ref="M11:M12"/>
    <mergeCell ref="BE11:BE12"/>
    <mergeCell ref="AQ9:AQ10"/>
    <mergeCell ref="AP9:AP10"/>
    <mergeCell ref="AR9:AR10"/>
    <mergeCell ref="AS9:AS10"/>
    <mergeCell ref="J7:J8"/>
    <mergeCell ref="K7:K8"/>
    <mergeCell ref="N7:N8"/>
    <mergeCell ref="M7:M8"/>
    <mergeCell ref="M9:M10"/>
    <mergeCell ref="G9:G10"/>
    <mergeCell ref="H9:H10"/>
    <mergeCell ref="AP11:AP12"/>
    <mergeCell ref="AQ11:AQ12"/>
    <mergeCell ref="AR11:AR12"/>
    <mergeCell ref="AS11:AS12"/>
    <mergeCell ref="AT11:AT12"/>
    <mergeCell ref="AU11:AU12"/>
    <mergeCell ref="K4:K6"/>
    <mergeCell ref="AU2:AU3"/>
    <mergeCell ref="AQ4:AQ6"/>
    <mergeCell ref="AL2:AN3"/>
    <mergeCell ref="AO2:AO3"/>
    <mergeCell ref="AP2:AQ3"/>
    <mergeCell ref="L7:L8"/>
    <mergeCell ref="L9:L10"/>
    <mergeCell ref="L11:L12"/>
    <mergeCell ref="O9:O10"/>
    <mergeCell ref="O11:O12"/>
    <mergeCell ref="S11:S12"/>
    <mergeCell ref="N9:N10"/>
    <mergeCell ref="N11:N12"/>
    <mergeCell ref="P7:P8"/>
    <mergeCell ref="P9:P10"/>
    <mergeCell ref="P11:P12"/>
    <mergeCell ref="O7:O8"/>
    <mergeCell ref="AJ3:AK3"/>
    <mergeCell ref="D4:D6"/>
    <mergeCell ref="C4:C6"/>
    <mergeCell ref="B4:B6"/>
    <mergeCell ref="AN4:AN6"/>
    <mergeCell ref="AA4:AA6"/>
    <mergeCell ref="AR4:AR6"/>
    <mergeCell ref="A4:A6"/>
    <mergeCell ref="J4:J6"/>
    <mergeCell ref="I4:I6"/>
    <mergeCell ref="H4:H6"/>
    <mergeCell ref="G4:G6"/>
    <mergeCell ref="F4:F6"/>
    <mergeCell ref="E4:E6"/>
    <mergeCell ref="P4:P6"/>
    <mergeCell ref="O4:O6"/>
    <mergeCell ref="E9:E10"/>
    <mergeCell ref="AV1:BE1"/>
    <mergeCell ref="AC2:AC3"/>
    <mergeCell ref="AD2:AG2"/>
    <mergeCell ref="AH2:AH3"/>
    <mergeCell ref="AI2:AK2"/>
    <mergeCell ref="N4:N6"/>
    <mergeCell ref="S4:S6"/>
    <mergeCell ref="AZ4:AZ6"/>
    <mergeCell ref="BA4:BA6"/>
    <mergeCell ref="BB4:BB6"/>
    <mergeCell ref="AO4:AO6"/>
    <mergeCell ref="AR2:AR3"/>
    <mergeCell ref="AS2:AS3"/>
    <mergeCell ref="AT2:AT3"/>
    <mergeCell ref="A1:T2"/>
    <mergeCell ref="U1:AB2"/>
    <mergeCell ref="AC1:AK1"/>
    <mergeCell ref="AM1:AO1"/>
    <mergeCell ref="AP1:AU1"/>
    <mergeCell ref="M4:M6"/>
    <mergeCell ref="AV2:AZ2"/>
    <mergeCell ref="BA2:BE2"/>
    <mergeCell ref="G3:H3"/>
    <mergeCell ref="F9:F10"/>
    <mergeCell ref="H11:H12"/>
    <mergeCell ref="I11:I12"/>
    <mergeCell ref="J11:J12"/>
    <mergeCell ref="K11:K12"/>
    <mergeCell ref="A7:A8"/>
    <mergeCell ref="B7:B8"/>
    <mergeCell ref="C7:C8"/>
    <mergeCell ref="D7:D8"/>
    <mergeCell ref="E7:E8"/>
    <mergeCell ref="F11:F12"/>
    <mergeCell ref="G11:G12"/>
    <mergeCell ref="I9:I10"/>
    <mergeCell ref="J9:J10"/>
    <mergeCell ref="K9:K10"/>
    <mergeCell ref="A11:A12"/>
    <mergeCell ref="B11:B12"/>
    <mergeCell ref="C11:C12"/>
    <mergeCell ref="D11:D12"/>
    <mergeCell ref="E11:E12"/>
    <mergeCell ref="A9:A10"/>
    <mergeCell ref="B9:B10"/>
    <mergeCell ref="C9:C10"/>
    <mergeCell ref="D9:D10"/>
    <mergeCell ref="Q11:Q12"/>
    <mergeCell ref="R11:R12"/>
    <mergeCell ref="U4:U6"/>
    <mergeCell ref="U7:U8"/>
    <mergeCell ref="U9:U10"/>
    <mergeCell ref="R4:R6"/>
    <mergeCell ref="R7:R8"/>
    <mergeCell ref="X11:X12"/>
    <mergeCell ref="T11:T12"/>
    <mergeCell ref="X7:X8"/>
    <mergeCell ref="X9:X10"/>
    <mergeCell ref="W7:W8"/>
    <mergeCell ref="T4:T6"/>
    <mergeCell ref="T7:T8"/>
    <mergeCell ref="R9:R10"/>
    <mergeCell ref="V4:V6"/>
    <mergeCell ref="V7:V8"/>
    <mergeCell ref="V9:V10"/>
    <mergeCell ref="S7:S8"/>
    <mergeCell ref="S9:S10"/>
    <mergeCell ref="T9:T10"/>
    <mergeCell ref="Q4:Q6"/>
    <mergeCell ref="Q7:Q8"/>
    <mergeCell ref="Q9:Q10"/>
    <mergeCell ref="Y11:Y12"/>
    <mergeCell ref="W9:W10"/>
    <mergeCell ref="V11:V12"/>
    <mergeCell ref="U11:U12"/>
    <mergeCell ref="AG7:AG8"/>
    <mergeCell ref="AB4:AB6"/>
    <mergeCell ref="AC4:AC6"/>
    <mergeCell ref="Z11:Z12"/>
    <mergeCell ref="AA7:AA8"/>
    <mergeCell ref="AA9:AA10"/>
    <mergeCell ref="AA11:AA12"/>
    <mergeCell ref="W4:W6"/>
    <mergeCell ref="Y4:Y6"/>
    <mergeCell ref="Z4:Z6"/>
    <mergeCell ref="AB9:AB10"/>
    <mergeCell ref="Y7:Y8"/>
    <mergeCell ref="Y9:Y10"/>
    <mergeCell ref="X4:X6"/>
    <mergeCell ref="AC9:AC10"/>
    <mergeCell ref="AC11:AC12"/>
    <mergeCell ref="W11:W12"/>
    <mergeCell ref="AB11:AB12"/>
    <mergeCell ref="AC7:AC8"/>
    <mergeCell ref="AD7:AD8"/>
    <mergeCell ref="Z7:Z8"/>
    <mergeCell ref="Z9:Z10"/>
    <mergeCell ref="AB7:AB8"/>
    <mergeCell ref="AN11:AN12"/>
    <mergeCell ref="AO11:AO12"/>
    <mergeCell ref="AN7:AN8"/>
    <mergeCell ref="AO7:AO8"/>
    <mergeCell ref="AN9:AN10"/>
    <mergeCell ref="AH7:AH8"/>
    <mergeCell ref="AE7:AE8"/>
    <mergeCell ref="AF7:AF8"/>
    <mergeCell ref="AO9:AO10"/>
    <mergeCell ref="AJ7:AJ8"/>
    <mergeCell ref="AK7:AK8"/>
  </mergeCells>
  <conditionalFormatting sqref="V4 V7 V9 V11 V13:V15">
    <cfRule type="expression" dxfId="68" priority="40" stopIfTrue="1">
      <formula>NOT(ISERROR(SEARCH("Muy alta",V4)))</formula>
    </cfRule>
    <cfRule type="expression" dxfId="67" priority="41" stopIfTrue="1">
      <formula>NOT(ISERROR(SEARCH("Alta",V4)))</formula>
    </cfRule>
    <cfRule type="expression" dxfId="66" priority="42" stopIfTrue="1">
      <formula>NOT(ISERROR(SEARCH("Media",V4)))</formula>
    </cfRule>
  </conditionalFormatting>
  <conditionalFormatting sqref="X4 X7 X9 X11 X13:X15">
    <cfRule type="containsText" dxfId="65" priority="9" operator="containsText" text="Catastrófico">
      <formula>NOT(ISERROR(SEARCH("Catastrófico",X4)))</formula>
    </cfRule>
    <cfRule type="containsText" dxfId="64" priority="10" operator="containsText" text="Mayor">
      <formula>NOT(ISERROR(SEARCH("Mayor",X4)))</formula>
    </cfRule>
    <cfRule type="containsText" dxfId="63" priority="11" operator="containsText" text="Moderado">
      <formula>NOT(ISERROR(SEARCH("Moderado",X4)))</formula>
    </cfRule>
    <cfRule type="containsText" dxfId="62" priority="12" operator="containsText" text="Menor">
      <formula>NOT(ISERROR(SEARCH("Menor",X4)))</formula>
    </cfRule>
    <cfRule type="containsText" dxfId="61" priority="13" operator="containsText" text="Leve">
      <formula>NOT(ISERROR(SEARCH("Leve",X4)))</formula>
    </cfRule>
  </conditionalFormatting>
  <conditionalFormatting sqref="Z4 Z7 Z9 Z11 Z13:Z15">
    <cfRule type="containsText" dxfId="60" priority="5" operator="containsText" text="Alto">
      <formula>NOT(ISERROR(SEARCH("Alto",Z4)))</formula>
    </cfRule>
    <cfRule type="containsText" dxfId="59" priority="6" operator="containsText" text="Moderado">
      <formula>NOT(ISERROR(SEARCH("Moderado",Z4)))</formula>
    </cfRule>
    <cfRule type="containsText" dxfId="58" priority="7" operator="containsText" text="Extremo">
      <formula>NOT(ISERROR(SEARCH("Extremo",Z4)))</formula>
    </cfRule>
    <cfRule type="containsText" dxfId="57" priority="8" operator="containsText" text="Bajo">
      <formula>NOT(ISERROR(SEARCH("Bajo",Z4)))</formula>
    </cfRule>
  </conditionalFormatting>
  <conditionalFormatting sqref="AI4">
    <cfRule type="containsText" dxfId="56" priority="37" operator="containsText" text="BAJA">
      <formula>NOT(ISERROR(SEARCH("BAJA",AI4)))</formula>
    </cfRule>
    <cfRule type="containsText" dxfId="55" priority="38" operator="containsText" text="MEDIA">
      <formula>NOT(ISERROR(SEARCH("MEDIA",AI4)))</formula>
    </cfRule>
    <cfRule type="containsText" dxfId="54" priority="39" operator="containsText" text="ALTA">
      <formula>NOT(ISERROR(SEARCH("ALTA",AI4)))</formula>
    </cfRule>
  </conditionalFormatting>
  <conditionalFormatting sqref="AI14">
    <cfRule type="containsText" dxfId="53" priority="22" operator="containsText" text="BAJA">
      <formula>NOT(ISERROR(SEARCH("BAJA",AI14)))</formula>
    </cfRule>
    <cfRule type="containsText" dxfId="52" priority="23" operator="containsText" text="MEDIA">
      <formula>NOT(ISERROR(SEARCH("MEDIA",AI14)))</formula>
    </cfRule>
    <cfRule type="containsText" dxfId="51" priority="24" operator="containsText" text="ALTA">
      <formula>NOT(ISERROR(SEARCH("ALTA",AI14)))</formula>
    </cfRule>
  </conditionalFormatting>
  <conditionalFormatting sqref="AJ13:AK13">
    <cfRule type="containsText" dxfId="50" priority="25" operator="containsText" text="BAJA">
      <formula>NOT(ISERROR(SEARCH("BAJA",AJ13)))</formula>
    </cfRule>
    <cfRule type="containsText" dxfId="49" priority="26" operator="containsText" text="MEDIA">
      <formula>NOT(ISERROR(SEARCH("MEDIA",AJ13)))</formula>
    </cfRule>
    <cfRule type="containsText" dxfId="48" priority="27" operator="containsText" text="ALTA">
      <formula>NOT(ISERROR(SEARCH("ALTA",AJ13)))</formula>
    </cfRule>
  </conditionalFormatting>
  <conditionalFormatting sqref="AP13">
    <cfRule type="containsText" dxfId="47" priority="19" operator="containsText" text="BAJA">
      <formula>NOT(ISERROR(SEARCH("BAJA",AP13)))</formula>
    </cfRule>
    <cfRule type="containsText" dxfId="46" priority="20" operator="containsText" text="MEDIA">
      <formula>NOT(ISERROR(SEARCH("MEDIA",AP13)))</formula>
    </cfRule>
    <cfRule type="containsText" dxfId="45" priority="21" operator="containsText" text="ALTA">
      <formula>NOT(ISERROR(SEARCH("ALTA",AP13)))</formula>
    </cfRule>
  </conditionalFormatting>
  <dataValidations count="3">
    <dataValidation type="list" allowBlank="1" showInputMessage="1" showErrorMessage="1" sqref="A4:A15">
      <formula1>"SI,NO"</formula1>
    </dataValidation>
    <dataValidation type="list" allowBlank="1" showInputMessage="1" showErrorMessage="1" sqref="AF4:AF15">
      <formula1>"Manual,Automático"</formula1>
    </dataValidation>
    <dataValidation type="list" allowBlank="1" showInputMessage="1" showErrorMessage="1" sqref="AI4:AI15">
      <formula1>"Confiable,No confiable"</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0"/>
  <sheetViews>
    <sheetView workbookViewId="0">
      <selection activeCell="B2" sqref="B2:G2"/>
    </sheetView>
  </sheetViews>
  <sheetFormatPr baseColWidth="10" defaultColWidth="11.42578125" defaultRowHeight="15"/>
  <cols>
    <col min="1" max="1" width="3.42578125" customWidth="1"/>
    <col min="6" max="6" width="40.5703125" customWidth="1"/>
  </cols>
  <sheetData>
    <row r="2" spans="2:7">
      <c r="B2" s="768" t="s">
        <v>113</v>
      </c>
      <c r="C2" s="768"/>
      <c r="D2" s="768"/>
      <c r="E2" s="768"/>
      <c r="F2" s="768"/>
      <c r="G2" s="768"/>
    </row>
    <row r="3" spans="2:7">
      <c r="B3" s="552" t="s">
        <v>114</v>
      </c>
      <c r="C3" s="769" t="s">
        <v>115</v>
      </c>
      <c r="D3" s="770"/>
      <c r="E3" s="770"/>
      <c r="F3" s="771"/>
      <c r="G3" s="552" t="s">
        <v>116</v>
      </c>
    </row>
    <row r="4" spans="2:7" ht="15" customHeight="1">
      <c r="B4" s="555">
        <v>45687</v>
      </c>
      <c r="C4" s="772" t="s">
        <v>117</v>
      </c>
      <c r="D4" s="773"/>
      <c r="E4" s="773"/>
      <c r="F4" s="774"/>
      <c r="G4" s="554">
        <v>1</v>
      </c>
    </row>
    <row r="5" spans="2:7" ht="15" customHeight="1">
      <c r="B5" s="556">
        <v>45862</v>
      </c>
      <c r="C5" s="779" t="s">
        <v>118</v>
      </c>
      <c r="D5" s="780"/>
      <c r="E5" s="780"/>
      <c r="F5" s="781"/>
      <c r="G5" s="554">
        <v>2</v>
      </c>
    </row>
    <row r="6" spans="2:7">
      <c r="B6" s="557">
        <v>46000</v>
      </c>
      <c r="C6" s="779" t="s">
        <v>119</v>
      </c>
      <c r="D6" s="780"/>
      <c r="E6" s="780"/>
      <c r="F6" s="781"/>
      <c r="G6" s="553">
        <v>3</v>
      </c>
    </row>
    <row r="7" spans="2:7">
      <c r="B7" s="18"/>
      <c r="C7" s="18"/>
      <c r="D7" s="18"/>
      <c r="E7" s="18"/>
      <c r="F7" s="18"/>
      <c r="G7" s="18"/>
    </row>
    <row r="8" spans="2:7">
      <c r="B8" s="775" t="s">
        <v>120</v>
      </c>
      <c r="C8" s="776"/>
      <c r="D8" s="776"/>
      <c r="E8" s="776"/>
      <c r="F8" s="776"/>
      <c r="G8" s="777"/>
    </row>
    <row r="9" spans="2:7">
      <c r="B9" s="778" t="s">
        <v>121</v>
      </c>
      <c r="C9" s="778"/>
      <c r="D9" s="778" t="s">
        <v>122</v>
      </c>
      <c r="E9" s="778"/>
      <c r="F9" s="778" t="s">
        <v>123</v>
      </c>
      <c r="G9" s="778"/>
    </row>
    <row r="10" spans="2:7" ht="89.25" customHeight="1">
      <c r="B10" s="765" t="s">
        <v>124</v>
      </c>
      <c r="C10" s="766"/>
      <c r="D10" s="765" t="s">
        <v>125</v>
      </c>
      <c r="E10" s="766"/>
      <c r="F10" s="767" t="s">
        <v>126</v>
      </c>
      <c r="G10" s="767"/>
    </row>
  </sheetData>
  <mergeCells count="12">
    <mergeCell ref="B10:C10"/>
    <mergeCell ref="D10:E10"/>
    <mergeCell ref="F10:G10"/>
    <mergeCell ref="B2:G2"/>
    <mergeCell ref="C3:F3"/>
    <mergeCell ref="C4:F4"/>
    <mergeCell ref="B8:G8"/>
    <mergeCell ref="B9:C9"/>
    <mergeCell ref="D9:E9"/>
    <mergeCell ref="F9:G9"/>
    <mergeCell ref="C6:F6"/>
    <mergeCell ref="C5:F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
  <sheetViews>
    <sheetView topLeftCell="A12" zoomScale="71" zoomScaleNormal="71" workbookViewId="0">
      <selection activeCell="H14" sqref="H14"/>
    </sheetView>
  </sheetViews>
  <sheetFormatPr baseColWidth="10" defaultColWidth="9.140625" defaultRowHeight="191.45" customHeight="1"/>
  <cols>
    <col min="1" max="1" width="11.42578125" customWidth="1"/>
    <col min="2" max="2" width="31.140625" customWidth="1"/>
    <col min="3" max="5" width="11.42578125" customWidth="1"/>
    <col min="6" max="6" width="73.140625" customWidth="1"/>
    <col min="7" max="7" width="11.42578125" customWidth="1"/>
    <col min="8" max="8" width="40.7109375" customWidth="1"/>
    <col min="9" max="9" width="36" customWidth="1"/>
    <col min="10" max="14" width="11.42578125" customWidth="1"/>
    <col min="15" max="15" width="28.42578125" customWidth="1"/>
    <col min="16" max="27" width="11.42578125" customWidth="1"/>
    <col min="28" max="28" width="32.85546875" customWidth="1"/>
    <col min="29" max="29" width="34.28515625" customWidth="1"/>
    <col min="30" max="36" width="11.42578125" customWidth="1"/>
    <col min="37" max="37" width="24" customWidth="1"/>
    <col min="38" max="41" width="11.42578125" customWidth="1"/>
    <col min="42" max="42" width="4.85546875" customWidth="1"/>
    <col min="43" max="43" width="24.42578125" customWidth="1"/>
    <col min="44" max="44" width="26.7109375" customWidth="1"/>
    <col min="45" max="256" width="11.42578125" customWidth="1"/>
  </cols>
  <sheetData>
    <row r="1" spans="1:59" ht="36.6"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44.45"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ht="191.45" customHeight="1">
      <c r="A3" s="669" t="s">
        <v>199</v>
      </c>
      <c r="B3" s="669" t="s">
        <v>144</v>
      </c>
      <c r="C3" s="669" t="s">
        <v>6</v>
      </c>
      <c r="D3" s="669" t="s">
        <v>1</v>
      </c>
      <c r="E3" s="669" t="s">
        <v>2</v>
      </c>
      <c r="F3" s="669" t="s">
        <v>200</v>
      </c>
      <c r="G3" s="957" t="s">
        <v>201</v>
      </c>
      <c r="H3" s="957"/>
      <c r="I3" s="669" t="s">
        <v>202</v>
      </c>
      <c r="J3" s="669" t="s">
        <v>16</v>
      </c>
      <c r="K3" s="669" t="s">
        <v>203</v>
      </c>
      <c r="L3" s="669" t="s">
        <v>204</v>
      </c>
      <c r="M3" s="669" t="s">
        <v>13</v>
      </c>
      <c r="N3" s="669" t="s">
        <v>176</v>
      </c>
      <c r="O3" s="669" t="s">
        <v>14</v>
      </c>
      <c r="P3" s="669" t="s">
        <v>176</v>
      </c>
      <c r="Q3" s="669" t="s">
        <v>15</v>
      </c>
      <c r="R3" s="669" t="s">
        <v>176</v>
      </c>
      <c r="S3" s="669" t="s">
        <v>205</v>
      </c>
      <c r="T3" s="669" t="s">
        <v>11</v>
      </c>
      <c r="U3" s="96" t="s">
        <v>206</v>
      </c>
      <c r="V3" s="97" t="s">
        <v>207</v>
      </c>
      <c r="W3" s="96" t="s">
        <v>176</v>
      </c>
      <c r="X3" s="97" t="s">
        <v>208</v>
      </c>
      <c r="Y3" s="96" t="s">
        <v>176</v>
      </c>
      <c r="Z3" s="97" t="s">
        <v>209</v>
      </c>
      <c r="AA3" s="97" t="s">
        <v>176</v>
      </c>
      <c r="AB3" s="97" t="s">
        <v>210</v>
      </c>
      <c r="AC3" s="956"/>
      <c r="AD3" s="668" t="s">
        <v>5</v>
      </c>
      <c r="AE3" s="98" t="s">
        <v>211</v>
      </c>
      <c r="AF3" s="668" t="s">
        <v>212</v>
      </c>
      <c r="AG3" s="668" t="s">
        <v>211</v>
      </c>
      <c r="AH3" s="956"/>
      <c r="AI3" s="668" t="s">
        <v>213</v>
      </c>
      <c r="AJ3" s="956" t="s">
        <v>7</v>
      </c>
      <c r="AK3" s="956"/>
      <c r="AL3" s="960"/>
      <c r="AM3" s="960"/>
      <c r="AN3" s="960"/>
      <c r="AO3" s="960"/>
      <c r="AP3" s="958"/>
      <c r="AQ3" s="958"/>
      <c r="AR3" s="958"/>
      <c r="AS3" s="958"/>
      <c r="AT3" s="958"/>
      <c r="AU3" s="958"/>
      <c r="AV3" s="99" t="s">
        <v>217</v>
      </c>
      <c r="AW3" s="99" t="s">
        <v>218</v>
      </c>
      <c r="AX3" s="99" t="s">
        <v>219</v>
      </c>
      <c r="AY3" s="100" t="s">
        <v>220</v>
      </c>
      <c r="AZ3" s="100" t="s">
        <v>221</v>
      </c>
      <c r="BA3" s="99" t="s">
        <v>217</v>
      </c>
      <c r="BB3" s="99" t="s">
        <v>218</v>
      </c>
      <c r="BC3" s="99" t="s">
        <v>219</v>
      </c>
      <c r="BD3" s="100" t="s">
        <v>220</v>
      </c>
      <c r="BE3" s="100" t="s">
        <v>221</v>
      </c>
      <c r="BF3" s="101"/>
      <c r="BG3" s="101"/>
    </row>
    <row r="4" spans="1:59" ht="97.9" customHeight="1">
      <c r="A4" s="1251" t="s">
        <v>51</v>
      </c>
      <c r="B4" s="1241" t="s">
        <v>74</v>
      </c>
      <c r="C4" s="1241" t="s">
        <v>92</v>
      </c>
      <c r="D4" s="1241" t="s">
        <v>12</v>
      </c>
      <c r="E4" s="1241" t="s">
        <v>36</v>
      </c>
      <c r="F4" s="1241" t="s">
        <v>1164</v>
      </c>
      <c r="G4" s="1249" t="s">
        <v>1165</v>
      </c>
      <c r="H4" s="1241" t="s">
        <v>1166</v>
      </c>
      <c r="I4" s="1241" t="s">
        <v>1167</v>
      </c>
      <c r="J4" s="815" t="s">
        <v>66</v>
      </c>
      <c r="K4" s="1241">
        <v>2</v>
      </c>
      <c r="L4" s="1234">
        <f>IF(J4="Diaria",+(K4/360),IF(J4="Semanal",+(K4/52),IF(J4="Mensual",+(K4/12),IF(J4="Bimestral",+(K4/6),IF(J4="Trimestral",+(K4/4),IF(J4="Semestral",+(K4/2),IF(J4="Anual",+(K4/1),"")))))))</f>
        <v>0.16666666666666666</v>
      </c>
      <c r="M4" s="1241" t="s">
        <v>73</v>
      </c>
      <c r="N4" s="1234">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v>
      </c>
      <c r="O4" s="1241" t="s">
        <v>31</v>
      </c>
      <c r="P4" s="1234">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0.2</v>
      </c>
      <c r="Q4" s="815" t="s">
        <v>73</v>
      </c>
      <c r="R4" s="1234">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831" t="s">
        <v>60</v>
      </c>
      <c r="T4" s="831" t="s">
        <v>61</v>
      </c>
      <c r="U4" s="1234">
        <f>+MAX(N4,P4,R4)</f>
        <v>0.2</v>
      </c>
      <c r="V4" s="912" t="str">
        <f>IF(L4&lt;=20%,"Muy baja",IF(L4&lt;=40%,"Baja",IF(L4&lt;=60%,"Media",IF(L4&lt;=80%,"Alta",IF(L4&lt;=100%,"Muy alta",IF(L4&gt;=100%,"Muy alta",""))))))</f>
        <v>Muy baja</v>
      </c>
      <c r="W4" s="1234">
        <f>+IFERROR(VLOOKUP(V4,formulas!$F$1:$G$6,2,FALSE),"")</f>
        <v>0.2</v>
      </c>
      <c r="X4" s="911" t="str">
        <f>IF(U4=20%,"Leve",IF(U4=40%,"Menor",IF(U4=60%,"Moderado",IF(U4=80%,"Mayor",IF(U4=100%,"Catastrófico","")))))</f>
        <v>Leve</v>
      </c>
      <c r="Y4" s="1234">
        <f>+IFERROR(VLOOKUP(X4,formulas!$H$1:$I$6,2,FALSE),"")</f>
        <v>0.2</v>
      </c>
      <c r="Z4" s="911" t="str">
        <f>+IFERROR(VLOOKUP(V4&amp;X4,formulas!$C$2:$D$26,2,FALSE),"")</f>
        <v>Bajo</v>
      </c>
      <c r="AA4" s="1234">
        <f>IF(Z4="Bajo",25%,IF(Z4="Moderado",50%,IF(Z4="Alto",75%,IF(Z4="Extremo",100%,""))))</f>
        <v>0.25</v>
      </c>
      <c r="AB4" s="1236" t="s">
        <v>1168</v>
      </c>
      <c r="AC4" s="731" t="s">
        <v>1169</v>
      </c>
      <c r="AD4" s="731" t="s">
        <v>57</v>
      </c>
      <c r="AE4" s="656">
        <f t="shared" ref="AE4:AE15" si="0">IF(AD4="Preventivo",25%,IF(AD4="Detectivo",15%,IF(AD4="Correctivo",10%,"")))</f>
        <v>0.25</v>
      </c>
      <c r="AF4" s="731" t="s">
        <v>229</v>
      </c>
      <c r="AG4" s="656">
        <f>IF(AF4="Manual",15%,IF(AF4="Automático",25%,""))</f>
        <v>0.15</v>
      </c>
      <c r="AH4" s="656">
        <f>+AG4+AE4</f>
        <v>0.4</v>
      </c>
      <c r="AI4" s="613"/>
      <c r="AJ4" s="731" t="s">
        <v>24</v>
      </c>
      <c r="AK4" s="731" t="s">
        <v>1170</v>
      </c>
      <c r="AL4" s="647">
        <f>+AA4*AH4</f>
        <v>0.1</v>
      </c>
      <c r="AM4" s="647">
        <f>+AA4-AL4</f>
        <v>0.15</v>
      </c>
      <c r="AN4" s="911" t="str">
        <f>+IF(C4="Corrupción","Moderado",IF(AM6&lt;=25%,"Bajo",IF(AM6&lt;=50%,"Moderado",IF(AM6&lt;=75%,"Alto",IF(AM6&gt;75%,"Extremo","")))))</f>
        <v>Bajo</v>
      </c>
      <c r="AO4" s="844" t="s">
        <v>59</v>
      </c>
      <c r="AP4" s="407">
        <v>1</v>
      </c>
      <c r="AQ4" s="731" t="s">
        <v>1171</v>
      </c>
      <c r="AR4" s="731" t="s">
        <v>1172</v>
      </c>
      <c r="AS4" s="535"/>
      <c r="AT4" s="375"/>
      <c r="AU4" s="402"/>
      <c r="AV4" s="613"/>
      <c r="AW4" s="613"/>
      <c r="AX4" s="613"/>
      <c r="AY4" s="613"/>
      <c r="AZ4" s="613"/>
      <c r="BA4" s="613"/>
      <c r="BB4" s="613"/>
      <c r="BC4" s="613"/>
      <c r="BD4" s="613"/>
      <c r="BE4" s="613"/>
      <c r="BF4" s="640"/>
      <c r="BG4" s="640"/>
    </row>
    <row r="5" spans="1:59" ht="97.9" customHeight="1">
      <c r="A5" s="1251"/>
      <c r="B5" s="1241"/>
      <c r="C5" s="1241"/>
      <c r="D5" s="1241"/>
      <c r="E5" s="1241"/>
      <c r="F5" s="1241"/>
      <c r="G5" s="1249"/>
      <c r="H5" s="1241"/>
      <c r="I5" s="1241"/>
      <c r="J5" s="815"/>
      <c r="K5" s="1241"/>
      <c r="L5" s="1234" t="str">
        <f t="shared" ref="L5:L15" si="1">IF(J5="Diaria",+(K5/360),IF(J5="Semanal",+(K5/52),IF(J5="Mensual",+(K5/12),IF(J5="Bimestral",+(K5/6),IF(J5="Trimestral",+(K5/4),IF(J5="Semestral",+(K5/2),IF(J5="Anual",+(K5/1),"")))))))</f>
        <v/>
      </c>
      <c r="M5" s="1241"/>
      <c r="N5" s="1234" t="str">
        <f t="shared" ref="N5:N15" si="2">IF(M5="Menor al 1% del patrimonio de la Lotería de Bogotá",20%,IF(M5="Entre el 1% y el 3% del patrimonio de la Lotería de Bogotá",40%,IF(M5="Entre el 3% y el 6% del patrimonio de la Lotería de Bogotá",60%,IF(M5="Entre el 6% y el 10% del patrimonio de la Lotería de Bogotá",80%,IF(M5="Mayor al 10% del patrimonio de la Lotería de Bogotá",100%,IF(M5="NA",0%,""))))))</f>
        <v/>
      </c>
      <c r="O5" s="1241"/>
      <c r="P5" s="1234" t="str">
        <f t="shared" ref="P5:P15" si="3">IF(O5="El riesgo afecta la imagen de algún área de la organización",20%,IF(O5="El riesgo afecta la imagen de la entidad internamente, de conocimiento general nivel interno, de junta directiva y accionistas y/o de proveedores",40%,IF(O5="El riesgo afecta la imagen de la entidad con algunos usuarios de relevancia frente al logro de los objetivos",60%,IF(O5="El riesgo afecta la imagen de la entidad con efecto publicitario sostenido a nivel de sector administrativo, nivel departamental o municipal",80%,IF(O5="El riesgo afecta la imagen de la entidad a nivel nacional, con efecto publicitario sostenido a nivel país",100%,IF(O5="NA",0%,""))))))</f>
        <v/>
      </c>
      <c r="Q5" s="815"/>
      <c r="R5" s="1234" t="str">
        <f t="shared" ref="R5:R15" si="4">IF(Q5="Interrupción de la operación por menos de un día",20%,IF(Q5="Interrupción de la operación por un día completo",40%,IF(Q5="Interrupción de la operación mayor a 1 día y menor a 2 días",60%,IF(Q5="Interrupción de la operación por dos días completos",80%,IF(Q5="Interrupción de la operación por más de dos días",100%,IF(Q5="NA",0%,""))))))</f>
        <v/>
      </c>
      <c r="S5" s="831"/>
      <c r="T5" s="831"/>
      <c r="U5" s="1234">
        <f t="shared" ref="U5:U15" si="5">+MAX(N5,P5,R5)</f>
        <v>0</v>
      </c>
      <c r="V5" s="915"/>
      <c r="W5" s="1234" t="str">
        <f>+IFERROR(VLOOKUP(V5,formulas!$F$1:$G$6,2,FALSE),"")</f>
        <v/>
      </c>
      <c r="X5" s="821"/>
      <c r="Y5" s="1234" t="str">
        <f>+IFERROR(VLOOKUP(X5,formulas!$H$1:$I$6,2,FALSE),"")</f>
        <v/>
      </c>
      <c r="Z5" s="821"/>
      <c r="AA5" s="1234" t="str">
        <f t="shared" ref="AA5:AA15" si="6">IF(Z5="Bajo",25%,IF(Z5="Moderado",50%,IF(Z5="Alto",75%,IF(Z5="Extremo",100%,""))))</f>
        <v/>
      </c>
      <c r="AB5" s="1236"/>
      <c r="AC5" s="731" t="s">
        <v>1173</v>
      </c>
      <c r="AD5" s="731" t="s">
        <v>57</v>
      </c>
      <c r="AE5" s="656">
        <f t="shared" si="0"/>
        <v>0.25</v>
      </c>
      <c r="AF5" s="731" t="s">
        <v>229</v>
      </c>
      <c r="AG5" s="656">
        <f t="shared" ref="AG5:AG15" si="7">IF(AF5="Manual",15%,IF(AF5="Automático",25%,""))</f>
        <v>0.15</v>
      </c>
      <c r="AH5" s="656">
        <f t="shared" ref="AH5:AH15" si="8">+AG5+AE5</f>
        <v>0.4</v>
      </c>
      <c r="AI5" s="403"/>
      <c r="AJ5" s="731" t="s">
        <v>24</v>
      </c>
      <c r="AK5" s="731" t="s">
        <v>1174</v>
      </c>
      <c r="AL5" s="647">
        <f>+AM4*AH5</f>
        <v>0.06</v>
      </c>
      <c r="AM5" s="647">
        <f>+AM4-AL5</f>
        <v>0.09</v>
      </c>
      <c r="AN5" s="821"/>
      <c r="AO5" s="844"/>
      <c r="AP5" s="407">
        <v>2</v>
      </c>
      <c r="AQ5" s="731" t="s">
        <v>1175</v>
      </c>
      <c r="AR5" s="731" t="s">
        <v>1172</v>
      </c>
      <c r="AS5" s="403"/>
      <c r="AT5" s="403"/>
      <c r="AU5" s="403"/>
      <c r="AV5" s="403"/>
      <c r="AW5" s="403"/>
      <c r="AX5" s="403"/>
      <c r="AY5" s="403"/>
      <c r="AZ5" s="403"/>
      <c r="BA5" s="403"/>
      <c r="BB5" s="403"/>
      <c r="BC5" s="403"/>
      <c r="BD5" s="403"/>
      <c r="BE5" s="403"/>
      <c r="BF5" s="403"/>
      <c r="BG5" s="403"/>
    </row>
    <row r="6" spans="1:59" ht="97.9" customHeight="1" thickBot="1">
      <c r="A6" s="943"/>
      <c r="B6" s="839"/>
      <c r="C6" s="839"/>
      <c r="D6" s="839"/>
      <c r="E6" s="839"/>
      <c r="F6" s="839"/>
      <c r="G6" s="1250"/>
      <c r="H6" s="839"/>
      <c r="I6" s="839"/>
      <c r="J6" s="816"/>
      <c r="K6" s="839"/>
      <c r="L6" s="1235" t="str">
        <f t="shared" si="1"/>
        <v/>
      </c>
      <c r="M6" s="839"/>
      <c r="N6" s="1235" t="str">
        <f t="shared" si="2"/>
        <v/>
      </c>
      <c r="O6" s="839"/>
      <c r="P6" s="1235" t="str">
        <f t="shared" si="3"/>
        <v/>
      </c>
      <c r="Q6" s="816"/>
      <c r="R6" s="1235" t="str">
        <f t="shared" si="4"/>
        <v/>
      </c>
      <c r="S6" s="827"/>
      <c r="T6" s="827"/>
      <c r="U6" s="1235">
        <f t="shared" si="5"/>
        <v>0</v>
      </c>
      <c r="V6" s="913"/>
      <c r="W6" s="1235" t="str">
        <f>+IFERROR(VLOOKUP(V6,formulas!$F$1:$G$6,2,FALSE),"")</f>
        <v/>
      </c>
      <c r="X6" s="822"/>
      <c r="Y6" s="1235" t="str">
        <f>+IFERROR(VLOOKUP(X6,formulas!$H$1:$I$6,2,FALSE),"")</f>
        <v/>
      </c>
      <c r="Z6" s="822"/>
      <c r="AA6" s="1235" t="str">
        <f t="shared" si="6"/>
        <v/>
      </c>
      <c r="AB6" s="1237"/>
      <c r="AC6" s="629" t="s">
        <v>1176</v>
      </c>
      <c r="AD6" s="629" t="s">
        <v>57</v>
      </c>
      <c r="AE6" s="657">
        <f t="shared" si="0"/>
        <v>0.25</v>
      </c>
      <c r="AF6" s="629" t="s">
        <v>229</v>
      </c>
      <c r="AG6" s="657">
        <f t="shared" si="7"/>
        <v>0.15</v>
      </c>
      <c r="AH6" s="657">
        <f t="shared" si="8"/>
        <v>0.4</v>
      </c>
      <c r="AI6" s="397"/>
      <c r="AJ6" s="629" t="s">
        <v>24</v>
      </c>
      <c r="AK6" s="629" t="s">
        <v>1177</v>
      </c>
      <c r="AL6" s="648">
        <f>+AM5*AH6</f>
        <v>3.5999999999999997E-2</v>
      </c>
      <c r="AM6" s="648">
        <f>+AM5-AL6</f>
        <v>5.3999999999999999E-2</v>
      </c>
      <c r="AN6" s="822"/>
      <c r="AO6" s="845"/>
      <c r="AP6" s="726">
        <v>3</v>
      </c>
      <c r="AQ6" s="629" t="s">
        <v>1178</v>
      </c>
      <c r="AR6" s="629" t="s">
        <v>1172</v>
      </c>
      <c r="AS6" s="397"/>
      <c r="AT6" s="397"/>
      <c r="AU6" s="397"/>
      <c r="AV6" s="397"/>
      <c r="AW6" s="397"/>
      <c r="AX6" s="397"/>
      <c r="AY6" s="397"/>
      <c r="AZ6" s="397"/>
      <c r="BA6" s="397"/>
      <c r="BB6" s="397"/>
      <c r="BC6" s="397"/>
      <c r="BD6" s="397"/>
      <c r="BE6" s="397"/>
      <c r="BF6" s="397"/>
      <c r="BG6" s="397"/>
    </row>
    <row r="7" spans="1:59" ht="97.9" customHeight="1">
      <c r="A7" s="1248" t="s">
        <v>51</v>
      </c>
      <c r="B7" s="838" t="s">
        <v>74</v>
      </c>
      <c r="C7" s="838" t="s">
        <v>92</v>
      </c>
      <c r="D7" s="838" t="s">
        <v>12</v>
      </c>
      <c r="E7" s="838" t="s">
        <v>36</v>
      </c>
      <c r="F7" s="838" t="s">
        <v>1179</v>
      </c>
      <c r="G7" s="1252" t="s">
        <v>1180</v>
      </c>
      <c r="H7" s="838" t="s">
        <v>1181</v>
      </c>
      <c r="I7" s="838" t="s">
        <v>1182</v>
      </c>
      <c r="J7" s="814" t="s">
        <v>89</v>
      </c>
      <c r="K7" s="814">
        <v>1</v>
      </c>
      <c r="L7" s="817">
        <f t="shared" si="1"/>
        <v>0.25</v>
      </c>
      <c r="M7" s="814" t="s">
        <v>73</v>
      </c>
      <c r="N7" s="817">
        <f t="shared" si="2"/>
        <v>0</v>
      </c>
      <c r="O7" s="814" t="s">
        <v>48</v>
      </c>
      <c r="P7" s="817">
        <f t="shared" si="3"/>
        <v>0.4</v>
      </c>
      <c r="Q7" s="1215" t="s">
        <v>73</v>
      </c>
      <c r="R7" s="1159">
        <f t="shared" si="4"/>
        <v>0</v>
      </c>
      <c r="S7" s="1038" t="s">
        <v>60</v>
      </c>
      <c r="T7" s="1038" t="s">
        <v>45</v>
      </c>
      <c r="U7" s="1159">
        <f t="shared" si="5"/>
        <v>0.4</v>
      </c>
      <c r="V7" s="915" t="str">
        <f t="shared" ref="V7:V15" si="9">IF(L7&lt;=20%,"Muy baja",IF(L7&lt;=40%,"Baja",IF(L7&lt;=60%,"Media",IF(L7&lt;=80%,"Alta",IF(L7&lt;=100%,"Muy alta",IF(L7&gt;=100%,"Muy alta",""))))))</f>
        <v>Baja</v>
      </c>
      <c r="W7" s="1159">
        <f>+IFERROR(VLOOKUP(V7,formulas!$F$1:$G$6,2,FALSE),"")</f>
        <v>0.4</v>
      </c>
      <c r="X7" s="821" t="str">
        <f t="shared" ref="X7:X15" si="10">IF(U7=20%,"Leve",IF(U7=40%,"Menor",IF(U7=60%,"Moderado",IF(U7=80%,"Mayor",IF(U7=100%,"Catastrófico","")))))</f>
        <v>Menor</v>
      </c>
      <c r="Y7" s="1159">
        <f>+IFERROR(VLOOKUP(X7,formulas!$H$1:$I$6,2,FALSE),"")</f>
        <v>0.4</v>
      </c>
      <c r="Z7" s="821" t="str">
        <f>+IFERROR(VLOOKUP(V7&amp;X7,formulas!$C$2:$D$26,2,FALSE),"")</f>
        <v>Moderado</v>
      </c>
      <c r="AA7" s="1159">
        <f t="shared" si="6"/>
        <v>0.5</v>
      </c>
      <c r="AB7" s="1238" t="s">
        <v>1183</v>
      </c>
      <c r="AC7" s="431" t="s">
        <v>1184</v>
      </c>
      <c r="AD7" s="362" t="s">
        <v>57</v>
      </c>
      <c r="AE7" s="666">
        <f t="shared" si="0"/>
        <v>0.25</v>
      </c>
      <c r="AF7" s="362" t="s">
        <v>229</v>
      </c>
      <c r="AG7" s="666">
        <f t="shared" si="7"/>
        <v>0.15</v>
      </c>
      <c r="AH7" s="666">
        <f t="shared" si="8"/>
        <v>0.4</v>
      </c>
      <c r="AI7" s="421"/>
      <c r="AJ7" s="362" t="s">
        <v>24</v>
      </c>
      <c r="AK7" s="362" t="s">
        <v>1185</v>
      </c>
      <c r="AL7" s="268">
        <f t="shared" ref="AL7:AL15" si="11">+AA7*AH7</f>
        <v>0.2</v>
      </c>
      <c r="AM7" s="268">
        <f t="shared" ref="AM7:AM15" si="12">+AA7-AL7</f>
        <v>0.3</v>
      </c>
      <c r="AN7" s="821" t="str">
        <f>+IF(C7="Corrupción","Moderado",IF(AM8&lt;=25%,"Bajo",IF(AM8&lt;=50%,"Moderado",IF(AM8&lt;=75%,"Alto",IF(AM8&gt;75%,"Extremo","")))))</f>
        <v>Bajo</v>
      </c>
      <c r="AO7" s="1233" t="s">
        <v>59</v>
      </c>
      <c r="AP7" s="408">
        <v>1</v>
      </c>
      <c r="AQ7" s="409" t="s">
        <v>1186</v>
      </c>
      <c r="AR7" s="735" t="s">
        <v>1187</v>
      </c>
      <c r="AS7" s="399"/>
      <c r="AT7" s="399"/>
      <c r="AU7" s="399"/>
      <c r="AV7" s="399"/>
      <c r="AW7" s="399"/>
      <c r="AX7" s="399"/>
      <c r="AY7" s="399"/>
      <c r="AZ7" s="399"/>
      <c r="BA7" s="399"/>
      <c r="BB7" s="399"/>
      <c r="BC7" s="399"/>
      <c r="BD7" s="399"/>
      <c r="BE7" s="399"/>
      <c r="BF7" s="399"/>
      <c r="BG7" s="399"/>
    </row>
    <row r="8" spans="1:59" ht="97.9" customHeight="1" thickBot="1">
      <c r="A8" s="943"/>
      <c r="B8" s="839"/>
      <c r="C8" s="839"/>
      <c r="D8" s="839"/>
      <c r="E8" s="839"/>
      <c r="F8" s="839"/>
      <c r="G8" s="1250"/>
      <c r="H8" s="839"/>
      <c r="I8" s="839"/>
      <c r="J8" s="816"/>
      <c r="K8" s="816"/>
      <c r="L8" s="819" t="str">
        <f t="shared" si="1"/>
        <v/>
      </c>
      <c r="M8" s="816"/>
      <c r="N8" s="819" t="str">
        <f t="shared" si="2"/>
        <v/>
      </c>
      <c r="O8" s="816"/>
      <c r="P8" s="819" t="str">
        <f t="shared" si="3"/>
        <v/>
      </c>
      <c r="Q8" s="816"/>
      <c r="R8" s="819" t="str">
        <f t="shared" si="4"/>
        <v/>
      </c>
      <c r="S8" s="827"/>
      <c r="T8" s="827"/>
      <c r="U8" s="819">
        <f t="shared" si="5"/>
        <v>0</v>
      </c>
      <c r="V8" s="913"/>
      <c r="W8" s="819" t="str">
        <f>+IFERROR(VLOOKUP(V8,formulas!$F$1:$G$6,2,FALSE),"")</f>
        <v/>
      </c>
      <c r="X8" s="822"/>
      <c r="Y8" s="819" t="str">
        <f>+IFERROR(VLOOKUP(X8,formulas!$H$1:$I$6,2,FALSE),"")</f>
        <v/>
      </c>
      <c r="Z8" s="822"/>
      <c r="AA8" s="819" t="str">
        <f t="shared" si="6"/>
        <v/>
      </c>
      <c r="AB8" s="1237"/>
      <c r="AC8" s="736" t="s">
        <v>1188</v>
      </c>
      <c r="AD8" s="629" t="s">
        <v>57</v>
      </c>
      <c r="AE8" s="657">
        <f t="shared" si="0"/>
        <v>0.25</v>
      </c>
      <c r="AF8" s="629" t="s">
        <v>229</v>
      </c>
      <c r="AG8" s="657">
        <f t="shared" si="7"/>
        <v>0.15</v>
      </c>
      <c r="AH8" s="657">
        <f t="shared" si="8"/>
        <v>0.4</v>
      </c>
      <c r="AI8" s="397"/>
      <c r="AJ8" s="629" t="s">
        <v>24</v>
      </c>
      <c r="AK8" s="629" t="s">
        <v>1189</v>
      </c>
      <c r="AL8" s="648">
        <f>+AM7*AH8</f>
        <v>0.12</v>
      </c>
      <c r="AM8" s="648">
        <f>+AM7-AL8</f>
        <v>0.18</v>
      </c>
      <c r="AN8" s="822"/>
      <c r="AO8" s="845"/>
      <c r="AP8" s="726">
        <v>2</v>
      </c>
      <c r="AQ8" s="410" t="s">
        <v>1190</v>
      </c>
      <c r="AR8" s="736" t="s">
        <v>1191</v>
      </c>
      <c r="AS8" s="397"/>
      <c r="AT8" s="397"/>
      <c r="AU8" s="397"/>
      <c r="AV8" s="397"/>
      <c r="AW8" s="397"/>
      <c r="AX8" s="397"/>
      <c r="AY8" s="397"/>
      <c r="AZ8" s="397"/>
      <c r="BA8" s="397"/>
      <c r="BB8" s="397"/>
      <c r="BC8" s="397"/>
      <c r="BD8" s="397"/>
      <c r="BE8" s="397"/>
      <c r="BF8" s="397"/>
      <c r="BG8" s="397"/>
    </row>
    <row r="9" spans="1:59" ht="97.9" customHeight="1">
      <c r="A9" s="1248" t="s">
        <v>51</v>
      </c>
      <c r="B9" s="838" t="s">
        <v>74</v>
      </c>
      <c r="C9" s="838" t="s">
        <v>101</v>
      </c>
      <c r="D9" s="838" t="s">
        <v>90</v>
      </c>
      <c r="E9" s="838" t="s">
        <v>96</v>
      </c>
      <c r="F9" s="1246" t="s">
        <v>1192</v>
      </c>
      <c r="G9" s="1244" t="s">
        <v>1193</v>
      </c>
      <c r="H9" s="1246" t="s">
        <v>1194</v>
      </c>
      <c r="I9" s="838" t="s">
        <v>1195</v>
      </c>
      <c r="J9" s="814" t="s">
        <v>66</v>
      </c>
      <c r="K9" s="814">
        <v>1</v>
      </c>
      <c r="L9" s="817">
        <f t="shared" si="1"/>
        <v>8.3333333333333329E-2</v>
      </c>
      <c r="M9" s="814" t="s">
        <v>30</v>
      </c>
      <c r="N9" s="817">
        <f t="shared" si="2"/>
        <v>0.2</v>
      </c>
      <c r="O9" s="814" t="s">
        <v>48</v>
      </c>
      <c r="P9" s="817">
        <f t="shared" si="3"/>
        <v>0.4</v>
      </c>
      <c r="Q9" s="814" t="s">
        <v>32</v>
      </c>
      <c r="R9" s="817">
        <f t="shared" si="4"/>
        <v>0.2</v>
      </c>
      <c r="S9" s="1038" t="s">
        <v>73</v>
      </c>
      <c r="T9" s="1038" t="s">
        <v>45</v>
      </c>
      <c r="U9" s="1159">
        <f t="shared" si="5"/>
        <v>0.4</v>
      </c>
      <c r="V9" s="915" t="str">
        <f t="shared" si="9"/>
        <v>Muy baja</v>
      </c>
      <c r="W9" s="1159">
        <f>+IFERROR(VLOOKUP(V9,formulas!$F$1:$G$6,2,FALSE),"")</f>
        <v>0.2</v>
      </c>
      <c r="X9" s="821" t="str">
        <f t="shared" si="10"/>
        <v>Menor</v>
      </c>
      <c r="Y9" s="1159">
        <f>+IFERROR(VLOOKUP(X9,formulas!$H$1:$I$6,2,FALSE),"")</f>
        <v>0.4</v>
      </c>
      <c r="Z9" s="821" t="str">
        <f>+IFERROR(VLOOKUP(V9&amp;X9,formulas!$C$2:$D$26,2,FALSE),"")</f>
        <v>Bajo</v>
      </c>
      <c r="AA9" s="1159">
        <f t="shared" si="6"/>
        <v>0.25</v>
      </c>
      <c r="AB9" s="1238" t="s">
        <v>1196</v>
      </c>
      <c r="AC9" s="431" t="s">
        <v>1197</v>
      </c>
      <c r="AD9" s="362" t="s">
        <v>57</v>
      </c>
      <c r="AE9" s="666">
        <f t="shared" si="0"/>
        <v>0.25</v>
      </c>
      <c r="AF9" s="362" t="s">
        <v>229</v>
      </c>
      <c r="AG9" s="666">
        <f t="shared" si="7"/>
        <v>0.15</v>
      </c>
      <c r="AH9" s="666">
        <f t="shared" si="8"/>
        <v>0.4</v>
      </c>
      <c r="AI9" s="421"/>
      <c r="AJ9" s="533" t="s">
        <v>41</v>
      </c>
      <c r="AK9" s="362" t="s">
        <v>1198</v>
      </c>
      <c r="AL9" s="268">
        <f t="shared" si="11"/>
        <v>0.1</v>
      </c>
      <c r="AM9" s="268">
        <f t="shared" si="12"/>
        <v>0.15</v>
      </c>
      <c r="AN9" s="821" t="str">
        <f>+IF(C9="Corrupción","Moderado",IF(AM10&lt;=25%,"Bajo",IF(AM10&lt;=50%,"Moderado",IF(AM10&lt;=75%,"Alto",IF(AM10&gt;75%,"Extremo","")))))</f>
        <v>Bajo</v>
      </c>
      <c r="AO9" s="1233" t="s">
        <v>59</v>
      </c>
      <c r="AP9" s="408">
        <v>1</v>
      </c>
      <c r="AQ9" s="409" t="s">
        <v>1199</v>
      </c>
      <c r="AR9" s="733" t="s">
        <v>1200</v>
      </c>
      <c r="AS9" s="399"/>
      <c r="AT9" s="399"/>
      <c r="AU9" s="399"/>
      <c r="AV9" s="399"/>
      <c r="AW9" s="399"/>
      <c r="AX9" s="399"/>
      <c r="AY9" s="399"/>
      <c r="AZ9" s="399"/>
      <c r="BA9" s="399"/>
      <c r="BB9" s="399"/>
      <c r="BC9" s="399"/>
      <c r="BD9" s="399"/>
      <c r="BE9" s="399"/>
      <c r="BF9" s="399"/>
      <c r="BG9" s="399"/>
    </row>
    <row r="10" spans="1:59" ht="97.9" customHeight="1" thickBot="1">
      <c r="A10" s="943"/>
      <c r="B10" s="839"/>
      <c r="C10" s="839"/>
      <c r="D10" s="839"/>
      <c r="E10" s="839"/>
      <c r="F10" s="1247"/>
      <c r="G10" s="1245"/>
      <c r="H10" s="1247"/>
      <c r="I10" s="839"/>
      <c r="J10" s="816"/>
      <c r="K10" s="816"/>
      <c r="L10" s="819" t="str">
        <f t="shared" si="1"/>
        <v/>
      </c>
      <c r="M10" s="816"/>
      <c r="N10" s="819" t="str">
        <f t="shared" si="2"/>
        <v/>
      </c>
      <c r="O10" s="816"/>
      <c r="P10" s="819" t="str">
        <f t="shared" si="3"/>
        <v/>
      </c>
      <c r="Q10" s="816"/>
      <c r="R10" s="819" t="str">
        <f t="shared" si="4"/>
        <v/>
      </c>
      <c r="S10" s="827"/>
      <c r="T10" s="827"/>
      <c r="U10" s="819">
        <f t="shared" si="5"/>
        <v>0</v>
      </c>
      <c r="V10" s="913"/>
      <c r="W10" s="819" t="str">
        <f>+IFERROR(VLOOKUP(V10,formulas!$F$1:$G$6,2,FALSE),"")</f>
        <v/>
      </c>
      <c r="X10" s="822"/>
      <c r="Y10" s="819" t="str">
        <f>+IFERROR(VLOOKUP(X10,formulas!$H$1:$I$6,2,FALSE),"")</f>
        <v/>
      </c>
      <c r="Z10" s="822"/>
      <c r="AA10" s="819" t="str">
        <f t="shared" si="6"/>
        <v/>
      </c>
      <c r="AB10" s="1237"/>
      <c r="AC10" s="736" t="s">
        <v>1201</v>
      </c>
      <c r="AD10" s="629" t="s">
        <v>57</v>
      </c>
      <c r="AE10" s="657">
        <f t="shared" si="0"/>
        <v>0.25</v>
      </c>
      <c r="AF10" s="629" t="s">
        <v>229</v>
      </c>
      <c r="AG10" s="657">
        <f t="shared" si="7"/>
        <v>0.15</v>
      </c>
      <c r="AH10" s="657">
        <f t="shared" si="8"/>
        <v>0.4</v>
      </c>
      <c r="AI10" s="397"/>
      <c r="AJ10" s="534" t="s">
        <v>41</v>
      </c>
      <c r="AK10" s="629" t="s">
        <v>1198</v>
      </c>
      <c r="AL10" s="648">
        <f>+AM9*AH10</f>
        <v>0.06</v>
      </c>
      <c r="AM10" s="648">
        <f>+AM9-AL10</f>
        <v>0.09</v>
      </c>
      <c r="AN10" s="822"/>
      <c r="AO10" s="845"/>
      <c r="AP10" s="726">
        <v>2</v>
      </c>
      <c r="AQ10" s="736" t="s">
        <v>1202</v>
      </c>
      <c r="AR10" s="734" t="s">
        <v>1203</v>
      </c>
      <c r="AS10" s="397"/>
      <c r="AT10" s="397"/>
      <c r="AU10" s="397"/>
      <c r="AV10" s="397"/>
      <c r="AW10" s="397"/>
      <c r="AX10" s="397"/>
      <c r="AY10" s="397"/>
      <c r="AZ10" s="397"/>
      <c r="BA10" s="397"/>
      <c r="BB10" s="397"/>
      <c r="BC10" s="397"/>
      <c r="BD10" s="397"/>
      <c r="BE10" s="397"/>
      <c r="BF10" s="397"/>
      <c r="BG10" s="397"/>
    </row>
    <row r="11" spans="1:59" ht="97.9" customHeight="1" thickBot="1">
      <c r="A11" s="174" t="s">
        <v>231</v>
      </c>
      <c r="B11" s="175" t="s">
        <v>74</v>
      </c>
      <c r="C11" s="175" t="s">
        <v>92</v>
      </c>
      <c r="D11" s="175" t="s">
        <v>79</v>
      </c>
      <c r="E11" s="211" t="s">
        <v>36</v>
      </c>
      <c r="F11" s="211" t="s">
        <v>519</v>
      </c>
      <c r="G11" s="211" t="s">
        <v>520</v>
      </c>
      <c r="H11" s="211" t="s">
        <v>1204</v>
      </c>
      <c r="I11" s="211" t="s">
        <v>522</v>
      </c>
      <c r="J11" s="175" t="s">
        <v>66</v>
      </c>
      <c r="K11" s="175">
        <v>1</v>
      </c>
      <c r="L11" s="204">
        <f t="shared" si="1"/>
        <v>8.3333333333333329E-2</v>
      </c>
      <c r="M11" s="175" t="s">
        <v>73</v>
      </c>
      <c r="N11" s="204">
        <f t="shared" si="2"/>
        <v>0</v>
      </c>
      <c r="O11" s="175" t="s">
        <v>64</v>
      </c>
      <c r="P11" s="204">
        <f t="shared" si="3"/>
        <v>0.6</v>
      </c>
      <c r="Q11" s="175" t="s">
        <v>73</v>
      </c>
      <c r="R11" s="204">
        <f t="shared" si="4"/>
        <v>0</v>
      </c>
      <c r="S11" s="658" t="s">
        <v>60</v>
      </c>
      <c r="T11" s="658" t="s">
        <v>45</v>
      </c>
      <c r="U11" s="689">
        <f t="shared" si="5"/>
        <v>0.6</v>
      </c>
      <c r="V11" s="420" t="str">
        <f t="shared" si="9"/>
        <v>Muy baja</v>
      </c>
      <c r="W11" s="689">
        <f>+IFERROR(VLOOKUP(V11,formulas!$F$1:$G$6,2,FALSE),"")</f>
        <v>0.2</v>
      </c>
      <c r="X11" s="619" t="str">
        <f t="shared" si="10"/>
        <v>Moderado</v>
      </c>
      <c r="Y11" s="689">
        <f>+IFERROR(VLOOKUP(X11,formulas!$H$1:$I$6,2,FALSE),"")</f>
        <v>0.6</v>
      </c>
      <c r="Z11" s="619" t="str">
        <f>+IFERROR(VLOOKUP(V11&amp;X11,formulas!$C$2:$D$26,2,FALSE),"")</f>
        <v>Moderado</v>
      </c>
      <c r="AA11" s="689">
        <f t="shared" si="6"/>
        <v>0.5</v>
      </c>
      <c r="AB11" s="428" t="s">
        <v>523</v>
      </c>
      <c r="AC11" s="430" t="s">
        <v>1205</v>
      </c>
      <c r="AD11" s="716" t="s">
        <v>57</v>
      </c>
      <c r="AE11" s="712">
        <f t="shared" si="0"/>
        <v>0.25</v>
      </c>
      <c r="AF11" s="689" t="s">
        <v>229</v>
      </c>
      <c r="AG11" s="712">
        <f t="shared" si="7"/>
        <v>0.15</v>
      </c>
      <c r="AH11" s="712">
        <f t="shared" si="8"/>
        <v>0.4</v>
      </c>
      <c r="AI11" s="728"/>
      <c r="AJ11" s="716" t="s">
        <v>24</v>
      </c>
      <c r="AK11" s="727" t="s">
        <v>639</v>
      </c>
      <c r="AL11" s="635">
        <f t="shared" si="11"/>
        <v>0.2</v>
      </c>
      <c r="AM11" s="635">
        <f t="shared" si="12"/>
        <v>0.3</v>
      </c>
      <c r="AN11" s="619" t="str">
        <f>+IF(C11="Corrupción","Moderado",IF(AM11&lt;=25%,"Bajo",IF(AM11&lt;=50%,"Moderado",IF(AM11&lt;=75%,"Alto",IF(AM11&gt;75%,"Extremo","")))))</f>
        <v>Moderado</v>
      </c>
      <c r="AO11" s="619" t="s">
        <v>59</v>
      </c>
      <c r="AP11" s="174">
        <v>1</v>
      </c>
      <c r="AQ11" s="411" t="s">
        <v>1206</v>
      </c>
      <c r="AR11" s="412" t="s">
        <v>1207</v>
      </c>
      <c r="AS11" s="401"/>
      <c r="AT11" s="401"/>
      <c r="AU11" s="401"/>
      <c r="AV11" s="401"/>
      <c r="AW11" s="401"/>
      <c r="AX11" s="401"/>
      <c r="AY11" s="401"/>
      <c r="AZ11" s="401"/>
      <c r="BA11" s="401"/>
      <c r="BB11" s="401"/>
      <c r="BC11" s="401"/>
      <c r="BD11" s="401"/>
      <c r="BE11" s="401"/>
      <c r="BF11" s="401"/>
      <c r="BG11" s="401"/>
    </row>
    <row r="12" spans="1:59" ht="97.9" customHeight="1">
      <c r="A12" s="826" t="s">
        <v>231</v>
      </c>
      <c r="B12" s="814" t="s">
        <v>74</v>
      </c>
      <c r="C12" s="814" t="s">
        <v>1112</v>
      </c>
      <c r="D12" s="814" t="s">
        <v>582</v>
      </c>
      <c r="E12" s="838" t="s">
        <v>96</v>
      </c>
      <c r="F12" s="628" t="s">
        <v>1208</v>
      </c>
      <c r="G12" s="838" t="s">
        <v>1209</v>
      </c>
      <c r="H12" s="838" t="s">
        <v>1210</v>
      </c>
      <c r="I12" s="838" t="s">
        <v>1211</v>
      </c>
      <c r="J12" s="814" t="s">
        <v>66</v>
      </c>
      <c r="K12" s="814">
        <v>1</v>
      </c>
      <c r="L12" s="817">
        <f t="shared" si="1"/>
        <v>8.3333333333333329E-2</v>
      </c>
      <c r="M12" s="814" t="s">
        <v>73</v>
      </c>
      <c r="N12" s="817">
        <f t="shared" si="2"/>
        <v>0</v>
      </c>
      <c r="O12" s="1242" t="s">
        <v>64</v>
      </c>
      <c r="P12" s="817">
        <f t="shared" si="3"/>
        <v>0.6</v>
      </c>
      <c r="Q12" s="814" t="s">
        <v>73</v>
      </c>
      <c r="R12" s="817">
        <f t="shared" si="4"/>
        <v>0</v>
      </c>
      <c r="S12" s="826" t="s">
        <v>72</v>
      </c>
      <c r="T12" s="826" t="s">
        <v>28</v>
      </c>
      <c r="U12" s="817">
        <f t="shared" si="5"/>
        <v>0.6</v>
      </c>
      <c r="V12" s="914" t="str">
        <f t="shared" si="9"/>
        <v>Muy baja</v>
      </c>
      <c r="W12" s="817">
        <f>+IFERROR(VLOOKUP(V12,formulas!$F$1:$G$6,2,FALSE),"")</f>
        <v>0.2</v>
      </c>
      <c r="X12" s="820" t="str">
        <f t="shared" si="10"/>
        <v>Moderado</v>
      </c>
      <c r="Y12" s="817">
        <f>+IFERROR(VLOOKUP(X12,formulas!$H$1:$I$6,2,FALSE),"")</f>
        <v>0.6</v>
      </c>
      <c r="Z12" s="820" t="str">
        <f>+IFERROR(VLOOKUP(V12&amp;X12,formulas!$C$2:$D$26,2,FALSE),"")</f>
        <v>Moderado</v>
      </c>
      <c r="AA12" s="817">
        <f t="shared" si="6"/>
        <v>0.5</v>
      </c>
      <c r="AB12" s="1239" t="s">
        <v>1212</v>
      </c>
      <c r="AC12" s="735" t="s">
        <v>1213</v>
      </c>
      <c r="AD12" s="612" t="s">
        <v>57</v>
      </c>
      <c r="AE12" s="667">
        <f t="shared" si="0"/>
        <v>0.25</v>
      </c>
      <c r="AF12" s="612" t="s">
        <v>229</v>
      </c>
      <c r="AG12" s="667">
        <f t="shared" si="7"/>
        <v>0.15</v>
      </c>
      <c r="AH12" s="667">
        <f t="shared" si="8"/>
        <v>0.4</v>
      </c>
      <c r="AI12" s="612" t="s">
        <v>230</v>
      </c>
      <c r="AJ12" s="399"/>
      <c r="AK12" s="628" t="s">
        <v>1214</v>
      </c>
      <c r="AL12" s="690">
        <f t="shared" si="11"/>
        <v>0.2</v>
      </c>
      <c r="AM12" s="690">
        <f t="shared" si="12"/>
        <v>0.3</v>
      </c>
      <c r="AN12" s="820" t="str">
        <f>+IF(C12="Corrupción","Moderado",IF(AM13&lt;=25%,"Bajo",IF(AM13&lt;=50%,"Moderado",IF(AM13&lt;=75%,"Alto",IF(AM13&gt;75%,"Extremo","")))))</f>
        <v>Bajo</v>
      </c>
      <c r="AO12" s="843" t="s">
        <v>59</v>
      </c>
      <c r="AP12" s="637"/>
      <c r="AQ12" s="413" t="s">
        <v>1215</v>
      </c>
      <c r="AR12" s="413" t="s">
        <v>1216</v>
      </c>
      <c r="AS12" s="399"/>
      <c r="AT12" s="399"/>
      <c r="AU12" s="399"/>
      <c r="AV12" s="399"/>
      <c r="AW12" s="399"/>
      <c r="AX12" s="399"/>
      <c r="AY12" s="399"/>
      <c r="AZ12" s="399"/>
      <c r="BA12" s="399"/>
      <c r="BB12" s="399"/>
      <c r="BC12" s="399"/>
      <c r="BD12" s="399"/>
      <c r="BE12" s="399"/>
      <c r="BF12" s="399"/>
      <c r="BG12" s="399"/>
    </row>
    <row r="13" spans="1:59" ht="97.9" customHeight="1" thickBot="1">
      <c r="A13" s="827"/>
      <c r="B13" s="816"/>
      <c r="C13" s="816"/>
      <c r="D13" s="816"/>
      <c r="E13" s="839"/>
      <c r="F13" s="629" t="s">
        <v>1217</v>
      </c>
      <c r="G13" s="839"/>
      <c r="H13" s="839"/>
      <c r="I13" s="839"/>
      <c r="J13" s="816"/>
      <c r="K13" s="816"/>
      <c r="L13" s="819" t="str">
        <f t="shared" si="1"/>
        <v/>
      </c>
      <c r="M13" s="816"/>
      <c r="N13" s="819" t="str">
        <f t="shared" si="2"/>
        <v/>
      </c>
      <c r="O13" s="1243"/>
      <c r="P13" s="819" t="str">
        <f t="shared" si="3"/>
        <v/>
      </c>
      <c r="Q13" s="816"/>
      <c r="R13" s="819" t="str">
        <f t="shared" si="4"/>
        <v/>
      </c>
      <c r="S13" s="827"/>
      <c r="T13" s="827"/>
      <c r="U13" s="819">
        <f t="shared" si="5"/>
        <v>0</v>
      </c>
      <c r="V13" s="913"/>
      <c r="W13" s="819" t="str">
        <f>+IFERROR(VLOOKUP(V13,formulas!$F$1:$G$6,2,FALSE),"")</f>
        <v/>
      </c>
      <c r="X13" s="822"/>
      <c r="Y13" s="819" t="str">
        <f>+IFERROR(VLOOKUP(X13,formulas!$H$1:$I$6,2,FALSE),"")</f>
        <v/>
      </c>
      <c r="Z13" s="822"/>
      <c r="AA13" s="819" t="str">
        <f t="shared" si="6"/>
        <v/>
      </c>
      <c r="AB13" s="1240"/>
      <c r="AC13" s="736" t="s">
        <v>1218</v>
      </c>
      <c r="AD13" s="614" t="s">
        <v>39</v>
      </c>
      <c r="AE13" s="657">
        <f t="shared" si="0"/>
        <v>0.15</v>
      </c>
      <c r="AF13" s="614" t="s">
        <v>229</v>
      </c>
      <c r="AG13" s="657">
        <f t="shared" si="7"/>
        <v>0.15</v>
      </c>
      <c r="AH13" s="657">
        <f t="shared" si="8"/>
        <v>0.3</v>
      </c>
      <c r="AI13" s="614" t="s">
        <v>230</v>
      </c>
      <c r="AJ13" s="397"/>
      <c r="AK13" s="629" t="s">
        <v>1219</v>
      </c>
      <c r="AL13" s="648">
        <f>+AM12*AH13</f>
        <v>0.09</v>
      </c>
      <c r="AM13" s="648">
        <f>+AM12-AL13</f>
        <v>0.21</v>
      </c>
      <c r="AN13" s="822"/>
      <c r="AO13" s="845"/>
      <c r="AP13" s="638"/>
      <c r="AQ13" s="414" t="s">
        <v>1220</v>
      </c>
      <c r="AR13" s="736" t="s">
        <v>1172</v>
      </c>
      <c r="AS13" s="397"/>
      <c r="AT13" s="397"/>
      <c r="AU13" s="397"/>
      <c r="AV13" s="397"/>
      <c r="AW13" s="397"/>
      <c r="AX13" s="397"/>
      <c r="AY13" s="397"/>
      <c r="AZ13" s="397"/>
      <c r="BA13" s="397"/>
      <c r="BB13" s="397"/>
      <c r="BC13" s="397"/>
      <c r="BD13" s="397"/>
      <c r="BE13" s="397"/>
      <c r="BF13" s="397"/>
      <c r="BG13" s="397"/>
    </row>
    <row r="14" spans="1:59" ht="224.25" customHeight="1" thickBot="1">
      <c r="A14" s="174" t="s">
        <v>51</v>
      </c>
      <c r="B14" s="175" t="s">
        <v>541</v>
      </c>
      <c r="C14" s="175" t="s">
        <v>58</v>
      </c>
      <c r="D14" s="175" t="s">
        <v>79</v>
      </c>
      <c r="E14" s="175" t="s">
        <v>80</v>
      </c>
      <c r="F14" s="564" t="s">
        <v>542</v>
      </c>
      <c r="G14" s="212" t="s">
        <v>457</v>
      </c>
      <c r="H14" s="742" t="s">
        <v>543</v>
      </c>
      <c r="I14" s="742" t="s">
        <v>544</v>
      </c>
      <c r="J14" s="213" t="s">
        <v>95</v>
      </c>
      <c r="K14" s="211">
        <v>1</v>
      </c>
      <c r="L14" s="394">
        <f t="shared" si="1"/>
        <v>0.5</v>
      </c>
      <c r="M14" s="211" t="s">
        <v>47</v>
      </c>
      <c r="N14" s="394">
        <f t="shared" si="2"/>
        <v>0.4</v>
      </c>
      <c r="O14" s="214" t="s">
        <v>76</v>
      </c>
      <c r="P14" s="394">
        <f t="shared" si="3"/>
        <v>0.8</v>
      </c>
      <c r="Q14" s="211" t="s">
        <v>73</v>
      </c>
      <c r="R14" s="394">
        <f t="shared" si="4"/>
        <v>0</v>
      </c>
      <c r="S14" s="426" t="s">
        <v>60</v>
      </c>
      <c r="T14" s="426" t="s">
        <v>73</v>
      </c>
      <c r="U14" s="427">
        <f t="shared" si="5"/>
        <v>0.8</v>
      </c>
      <c r="V14" s="420" t="str">
        <f t="shared" si="9"/>
        <v>Media</v>
      </c>
      <c r="W14" s="427">
        <f>+IFERROR(VLOOKUP(V14,formulas!$F$1:$G$6,2,FALSE),"")</f>
        <v>0.6</v>
      </c>
      <c r="X14" s="619" t="str">
        <f t="shared" si="10"/>
        <v>Mayor</v>
      </c>
      <c r="Y14" s="427">
        <f>+IFERROR(VLOOKUP(X14,formulas!$H$1:$I$6,2,FALSE),"")</f>
        <v>0.8</v>
      </c>
      <c r="Z14" s="619" t="str">
        <f>+IFERROR(VLOOKUP(V14&amp;X14,formulas!$C$2:$D$26,2,FALSE),"")</f>
        <v>Alto</v>
      </c>
      <c r="AA14" s="427">
        <f t="shared" si="6"/>
        <v>0.75</v>
      </c>
      <c r="AB14" s="428" t="s">
        <v>1221</v>
      </c>
      <c r="AC14" s="428" t="s">
        <v>545</v>
      </c>
      <c r="AD14" s="727" t="s">
        <v>57</v>
      </c>
      <c r="AE14" s="712">
        <f t="shared" si="0"/>
        <v>0.25</v>
      </c>
      <c r="AF14" s="727" t="s">
        <v>229</v>
      </c>
      <c r="AG14" s="712">
        <f t="shared" si="7"/>
        <v>0.15</v>
      </c>
      <c r="AH14" s="712">
        <f t="shared" si="8"/>
        <v>0.4</v>
      </c>
      <c r="AI14" s="727" t="s">
        <v>230</v>
      </c>
      <c r="AJ14" s="727" t="s">
        <v>24</v>
      </c>
      <c r="AK14" s="727" t="s">
        <v>546</v>
      </c>
      <c r="AL14" s="635">
        <f t="shared" si="11"/>
        <v>0.30000000000000004</v>
      </c>
      <c r="AM14" s="635">
        <f t="shared" si="12"/>
        <v>0.44999999999999996</v>
      </c>
      <c r="AN14" s="619" t="str">
        <f>+IF(C14="Corrupción","Moderado",IF(AM14&lt;=25%,"Bajo",IF(AM14&lt;=50%,"Moderado",IF(AM14&lt;=75%,"Alto",IF(AM14&gt;75%,"Extremo","")))))</f>
        <v>Moderado</v>
      </c>
      <c r="AO14" s="619" t="s">
        <v>59</v>
      </c>
      <c r="AP14" s="658"/>
      <c r="AQ14" s="429" t="s">
        <v>1222</v>
      </c>
      <c r="AR14" s="415" t="s">
        <v>1223</v>
      </c>
      <c r="AS14" s="401"/>
      <c r="AT14" s="401"/>
      <c r="AU14" s="401"/>
      <c r="AV14" s="401"/>
      <c r="AW14" s="401"/>
      <c r="AX14" s="401"/>
      <c r="AY14" s="401"/>
      <c r="AZ14" s="401"/>
      <c r="BA14" s="401"/>
      <c r="BB14" s="401"/>
      <c r="BC14" s="401"/>
      <c r="BD14" s="401"/>
      <c r="BE14" s="401"/>
      <c r="BF14" s="401"/>
      <c r="BG14" s="401"/>
    </row>
    <row r="15" spans="1:59" ht="97.9" customHeight="1" thickBot="1">
      <c r="A15" s="174" t="s">
        <v>231</v>
      </c>
      <c r="B15" s="175" t="s">
        <v>29</v>
      </c>
      <c r="C15" s="175" t="s">
        <v>92</v>
      </c>
      <c r="D15" s="175" t="s">
        <v>79</v>
      </c>
      <c r="E15" s="175" t="s">
        <v>36</v>
      </c>
      <c r="F15" s="411" t="s">
        <v>1224</v>
      </c>
      <c r="G15" s="175" t="s">
        <v>548</v>
      </c>
      <c r="H15" s="742" t="s">
        <v>549</v>
      </c>
      <c r="I15" s="175" t="s">
        <v>550</v>
      </c>
      <c r="J15" s="175" t="s">
        <v>66</v>
      </c>
      <c r="K15" s="175">
        <v>1</v>
      </c>
      <c r="L15" s="204">
        <f t="shared" si="1"/>
        <v>8.3333333333333329E-2</v>
      </c>
      <c r="M15" s="175" t="s">
        <v>73</v>
      </c>
      <c r="N15" s="204">
        <f t="shared" si="2"/>
        <v>0</v>
      </c>
      <c r="O15" s="175" t="s">
        <v>31</v>
      </c>
      <c r="P15" s="204">
        <f t="shared" si="3"/>
        <v>0.2</v>
      </c>
      <c r="Q15" s="175" t="s">
        <v>73</v>
      </c>
      <c r="R15" s="204">
        <f t="shared" si="4"/>
        <v>0</v>
      </c>
      <c r="S15" s="174" t="s">
        <v>60</v>
      </c>
      <c r="T15" s="658" t="s">
        <v>45</v>
      </c>
      <c r="U15" s="689">
        <f t="shared" si="5"/>
        <v>0.2</v>
      </c>
      <c r="V15" s="420" t="str">
        <f t="shared" si="9"/>
        <v>Muy baja</v>
      </c>
      <c r="W15" s="689">
        <f>+IFERROR(VLOOKUP(V15,formulas!$F$1:$G$6,2,FALSE),"")</f>
        <v>0.2</v>
      </c>
      <c r="X15" s="619" t="str">
        <f t="shared" si="10"/>
        <v>Leve</v>
      </c>
      <c r="Y15" s="689">
        <f>+IFERROR(VLOOKUP(X15,formulas!$H$1:$I$6,2,FALSE),"")</f>
        <v>0.2</v>
      </c>
      <c r="Z15" s="619" t="str">
        <f>+IFERROR(VLOOKUP(V15&amp;X15,formulas!$C$2:$D$26,2,FALSE),"")</f>
        <v>Bajo</v>
      </c>
      <c r="AA15" s="689">
        <f t="shared" si="6"/>
        <v>0.25</v>
      </c>
      <c r="AB15" s="428" t="s">
        <v>1225</v>
      </c>
      <c r="AC15" s="748" t="s">
        <v>1226</v>
      </c>
      <c r="AD15" s="716" t="s">
        <v>57</v>
      </c>
      <c r="AE15" s="712">
        <f t="shared" si="0"/>
        <v>0.25</v>
      </c>
      <c r="AF15" s="716" t="s">
        <v>553</v>
      </c>
      <c r="AG15" s="712">
        <f t="shared" si="7"/>
        <v>0.25</v>
      </c>
      <c r="AH15" s="712">
        <f t="shared" si="8"/>
        <v>0.5</v>
      </c>
      <c r="AI15" s="728"/>
      <c r="AJ15" s="716" t="s">
        <v>24</v>
      </c>
      <c r="AK15" s="716" t="s">
        <v>554</v>
      </c>
      <c r="AL15" s="635">
        <f t="shared" si="11"/>
        <v>0.125</v>
      </c>
      <c r="AM15" s="635">
        <f t="shared" si="12"/>
        <v>0.125</v>
      </c>
      <c r="AN15" s="619" t="str">
        <f>+IF(C15="Corrupción","Moderado",IF(AM15&lt;=25%,"Bajo",IF(AM15&lt;=50%,"Moderado",IF(AM15&lt;=75%,"Alto",IF(AM15&gt;75%,"Extremo","")))))</f>
        <v>Bajo</v>
      </c>
      <c r="AO15" s="619" t="s">
        <v>59</v>
      </c>
      <c r="AP15" s="730">
        <v>1</v>
      </c>
      <c r="AQ15" s="729" t="s">
        <v>1227</v>
      </c>
      <c r="AR15" s="411" t="s">
        <v>1228</v>
      </c>
      <c r="AS15" s="401"/>
      <c r="AT15" s="401"/>
      <c r="AU15" s="401"/>
      <c r="AV15" s="401"/>
      <c r="AW15" s="401"/>
      <c r="AX15" s="401"/>
      <c r="AY15" s="401"/>
      <c r="AZ15" s="401"/>
      <c r="BA15" s="401"/>
      <c r="BB15" s="401"/>
      <c r="BC15" s="401"/>
      <c r="BD15" s="401"/>
      <c r="BE15" s="401"/>
      <c r="BF15" s="401"/>
      <c r="BG15" s="401"/>
    </row>
  </sheetData>
  <mergeCells count="140">
    <mergeCell ref="AV1:BE1"/>
    <mergeCell ref="AC2:AC3"/>
    <mergeCell ref="AD2:AG2"/>
    <mergeCell ref="AH2:AH3"/>
    <mergeCell ref="AI2:AK2"/>
    <mergeCell ref="A1:T2"/>
    <mergeCell ref="U1:AB2"/>
    <mergeCell ref="AC1:AK1"/>
    <mergeCell ref="AM1:AO1"/>
    <mergeCell ref="AP1:AU1"/>
    <mergeCell ref="AU2:AU3"/>
    <mergeCell ref="AV2:AZ2"/>
    <mergeCell ref="BA2:BE2"/>
    <mergeCell ref="G3:H3"/>
    <mergeCell ref="AJ3:AK3"/>
    <mergeCell ref="AL2:AN3"/>
    <mergeCell ref="AO2:AO3"/>
    <mergeCell ref="AP2:AQ3"/>
    <mergeCell ref="AR2:AR3"/>
    <mergeCell ref="AS2:AS3"/>
    <mergeCell ref="AT2:AT3"/>
    <mergeCell ref="F4:F6"/>
    <mergeCell ref="J7:J8"/>
    <mergeCell ref="K7:K8"/>
    <mergeCell ref="G4:G6"/>
    <mergeCell ref="H4:H6"/>
    <mergeCell ref="I4:I6"/>
    <mergeCell ref="J4:J6"/>
    <mergeCell ref="K4:K6"/>
    <mergeCell ref="A7:A8"/>
    <mergeCell ref="B7:B8"/>
    <mergeCell ref="C7:C8"/>
    <mergeCell ref="D7:D8"/>
    <mergeCell ref="E7:E8"/>
    <mergeCell ref="A4:A6"/>
    <mergeCell ref="B4:B6"/>
    <mergeCell ref="C4:C6"/>
    <mergeCell ref="D4:D6"/>
    <mergeCell ref="E4:E6"/>
    <mergeCell ref="G7:G8"/>
    <mergeCell ref="H7:H8"/>
    <mergeCell ref="I7:I8"/>
    <mergeCell ref="F7:F8"/>
    <mergeCell ref="L12:L13"/>
    <mergeCell ref="A12:A13"/>
    <mergeCell ref="B12:B13"/>
    <mergeCell ref="C12:C13"/>
    <mergeCell ref="D12:D13"/>
    <mergeCell ref="E12:E13"/>
    <mergeCell ref="G9:G10"/>
    <mergeCell ref="H9:H10"/>
    <mergeCell ref="I9:I10"/>
    <mergeCell ref="J9:J10"/>
    <mergeCell ref="K9:K10"/>
    <mergeCell ref="G12:G13"/>
    <mergeCell ref="H12:H13"/>
    <mergeCell ref="I12:I13"/>
    <mergeCell ref="J12:J13"/>
    <mergeCell ref="K12:K13"/>
    <mergeCell ref="A9:A10"/>
    <mergeCell ref="B9:B10"/>
    <mergeCell ref="C9:C10"/>
    <mergeCell ref="D9:D10"/>
    <mergeCell ref="E9:E10"/>
    <mergeCell ref="F9:F10"/>
    <mergeCell ref="M4:M6"/>
    <mergeCell ref="M7:M8"/>
    <mergeCell ref="M9:M10"/>
    <mergeCell ref="M12:M13"/>
    <mergeCell ref="L4:L6"/>
    <mergeCell ref="O7:O8"/>
    <mergeCell ref="O9:O10"/>
    <mergeCell ref="O12:O13"/>
    <mergeCell ref="S4:S6"/>
    <mergeCell ref="Q4:Q6"/>
    <mergeCell ref="Q7:Q8"/>
    <mergeCell ref="Q9:Q10"/>
    <mergeCell ref="Q12:Q13"/>
    <mergeCell ref="P4:P6"/>
    <mergeCell ref="P7:P8"/>
    <mergeCell ref="P9:P10"/>
    <mergeCell ref="P12:P13"/>
    <mergeCell ref="N4:N6"/>
    <mergeCell ref="N7:N8"/>
    <mergeCell ref="N9:N10"/>
    <mergeCell ref="N12:N13"/>
    <mergeCell ref="O4:O6"/>
    <mergeCell ref="L7:L8"/>
    <mergeCell ref="L9:L10"/>
    <mergeCell ref="T4:T6"/>
    <mergeCell ref="S7:S8"/>
    <mergeCell ref="T7:T8"/>
    <mergeCell ref="S9:S10"/>
    <mergeCell ref="T9:T10"/>
    <mergeCell ref="S12:S13"/>
    <mergeCell ref="R7:R8"/>
    <mergeCell ref="R9:R10"/>
    <mergeCell ref="R12:R13"/>
    <mergeCell ref="T12:T13"/>
    <mergeCell ref="R4:R6"/>
    <mergeCell ref="U4:U6"/>
    <mergeCell ref="U7:U8"/>
    <mergeCell ref="U9:U10"/>
    <mergeCell ref="U12:U13"/>
    <mergeCell ref="V4:V6"/>
    <mergeCell ref="V7:V8"/>
    <mergeCell ref="V9:V10"/>
    <mergeCell ref="V12:V13"/>
    <mergeCell ref="W4:W6"/>
    <mergeCell ref="W7:W8"/>
    <mergeCell ref="W9:W10"/>
    <mergeCell ref="W12:W13"/>
    <mergeCell ref="X4:X6"/>
    <mergeCell ref="X7:X8"/>
    <mergeCell ref="X9:X10"/>
    <mergeCell ref="X12:X13"/>
    <mergeCell ref="Y4:Y6"/>
    <mergeCell ref="Y7:Y8"/>
    <mergeCell ref="Y9:Y10"/>
    <mergeCell ref="Y12:Y13"/>
    <mergeCell ref="Z4:Z6"/>
    <mergeCell ref="Z7:Z8"/>
    <mergeCell ref="Z9:Z10"/>
    <mergeCell ref="Z12:Z13"/>
    <mergeCell ref="AO12:AO13"/>
    <mergeCell ref="AN4:AN6"/>
    <mergeCell ref="AO4:AO6"/>
    <mergeCell ref="AN7:AN8"/>
    <mergeCell ref="AO7:AO8"/>
    <mergeCell ref="AN9:AN10"/>
    <mergeCell ref="AO9:AO10"/>
    <mergeCell ref="AA4:AA6"/>
    <mergeCell ref="AA7:AA8"/>
    <mergeCell ref="AA9:AA10"/>
    <mergeCell ref="AA12:AA13"/>
    <mergeCell ref="AB4:AB6"/>
    <mergeCell ref="AB7:AB8"/>
    <mergeCell ref="AB9:AB10"/>
    <mergeCell ref="AB12:AB13"/>
    <mergeCell ref="AN12:AN13"/>
  </mergeCells>
  <conditionalFormatting sqref="AI4 AJ11:AK11 AK12 AI12:AI14">
    <cfRule type="containsText" dxfId="44" priority="49" operator="containsText" text="BAJA">
      <formula>NOT(ISERROR(SEARCH("BAJA",AI4)))</formula>
    </cfRule>
    <cfRule type="containsText" dxfId="43" priority="50" operator="containsText" text="MEDIA">
      <formula>NOT(ISERROR(SEARCH("MEDIA",AI4)))</formula>
    </cfRule>
    <cfRule type="containsText" dxfId="42" priority="51" operator="containsText" text="ALTA">
      <formula>NOT(ISERROR(SEARCH("ALTA",AI4)))</formula>
    </cfRule>
  </conditionalFormatting>
  <conditionalFormatting sqref="AP11">
    <cfRule type="containsText" dxfId="41" priority="19" operator="containsText" text="BAJA">
      <formula>NOT(ISERROR(SEARCH("BAJA",AP11)))</formula>
    </cfRule>
    <cfRule type="containsText" dxfId="40" priority="20" operator="containsText" text="MEDIA">
      <formula>NOT(ISERROR(SEARCH("MEDIA",AP11)))</formula>
    </cfRule>
    <cfRule type="containsText" dxfId="39" priority="21" operator="containsText" text="ALTA">
      <formula>NOT(ISERROR(SEARCH("ALTA",AP11)))</formula>
    </cfRule>
  </conditionalFormatting>
  <dataValidations count="3">
    <dataValidation type="list" allowBlank="1" showInputMessage="1" showErrorMessage="1" sqref="A4:A15">
      <formula1>"SI,NO"</formula1>
    </dataValidation>
    <dataValidation type="list" allowBlank="1" showInputMessage="1" showErrorMessage="1" sqref="AF4:AF15">
      <formula1>"Manual,Automático"</formula1>
    </dataValidation>
    <dataValidation type="list" allowBlank="1" showInputMessage="1" showErrorMessage="1" sqref="AI4:AI15">
      <formula1>"Confiable,No confiable"</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2"/>
  <sheetViews>
    <sheetView topLeftCell="X12" zoomScale="78" zoomScaleNormal="78" workbookViewId="0">
      <selection activeCell="AI13" sqref="AI13"/>
    </sheetView>
  </sheetViews>
  <sheetFormatPr baseColWidth="10" defaultColWidth="9.140625" defaultRowHeight="15"/>
  <cols>
    <col min="1" max="1" width="11.42578125" customWidth="1"/>
    <col min="2" max="2" width="22.7109375" customWidth="1"/>
    <col min="3" max="3" width="11.42578125" customWidth="1"/>
    <col min="4" max="4" width="15.140625" customWidth="1"/>
    <col min="5" max="5" width="16.85546875" customWidth="1"/>
    <col min="6" max="6" width="31.5703125" customWidth="1"/>
    <col min="7" max="7" width="11.42578125" customWidth="1"/>
    <col min="8" max="8" width="23.140625" customWidth="1"/>
    <col min="9" max="9" width="24" customWidth="1"/>
    <col min="10" max="14" width="11.42578125" customWidth="1"/>
    <col min="15" max="15" width="26.28515625" customWidth="1"/>
    <col min="16" max="27" width="11.42578125" customWidth="1"/>
    <col min="28" max="28" width="24.85546875" customWidth="1"/>
    <col min="29" max="29" width="63.7109375" customWidth="1"/>
    <col min="30" max="35" width="11.42578125" customWidth="1"/>
    <col min="36" max="36" width="15.140625" customWidth="1"/>
    <col min="37" max="37" width="17.7109375" customWidth="1"/>
    <col min="38" max="41" width="11.42578125" customWidth="1"/>
    <col min="42" max="42" width="4.42578125" customWidth="1"/>
    <col min="43" max="43" width="17.28515625" customWidth="1"/>
    <col min="44" max="44" width="18.28515625" customWidth="1"/>
    <col min="45" max="46" width="11.42578125" customWidth="1"/>
    <col min="47" max="47" width="21.7109375" customWidth="1"/>
    <col min="48" max="256" width="11.42578125" customWidth="1"/>
  </cols>
  <sheetData>
    <row r="1" spans="1:59" ht="45">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18.75"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ht="112.15" customHeight="1">
      <c r="A3" s="669" t="s">
        <v>199</v>
      </c>
      <c r="B3" s="669" t="s">
        <v>144</v>
      </c>
      <c r="C3" s="669" t="s">
        <v>6</v>
      </c>
      <c r="D3" s="669" t="s">
        <v>1</v>
      </c>
      <c r="E3" s="669" t="s">
        <v>2</v>
      </c>
      <c r="F3" s="669" t="s">
        <v>200</v>
      </c>
      <c r="G3" s="957" t="s">
        <v>201</v>
      </c>
      <c r="H3" s="957"/>
      <c r="I3" s="669" t="s">
        <v>202</v>
      </c>
      <c r="J3" s="669" t="s">
        <v>16</v>
      </c>
      <c r="K3" s="669" t="s">
        <v>203</v>
      </c>
      <c r="L3" s="669" t="s">
        <v>204</v>
      </c>
      <c r="M3" s="669" t="s">
        <v>13</v>
      </c>
      <c r="N3" s="669" t="s">
        <v>176</v>
      </c>
      <c r="O3" s="669" t="s">
        <v>14</v>
      </c>
      <c r="P3" s="669" t="s">
        <v>176</v>
      </c>
      <c r="Q3" s="669" t="s">
        <v>15</v>
      </c>
      <c r="R3" s="669" t="s">
        <v>176</v>
      </c>
      <c r="S3" s="669" t="s">
        <v>205</v>
      </c>
      <c r="T3" s="669" t="s">
        <v>11</v>
      </c>
      <c r="U3" s="96" t="s">
        <v>206</v>
      </c>
      <c r="V3" s="97" t="s">
        <v>207</v>
      </c>
      <c r="W3" s="96" t="s">
        <v>176</v>
      </c>
      <c r="X3" s="97" t="s">
        <v>208</v>
      </c>
      <c r="Y3" s="96" t="s">
        <v>176</v>
      </c>
      <c r="Z3" s="97" t="s">
        <v>209</v>
      </c>
      <c r="AA3" s="97" t="s">
        <v>176</v>
      </c>
      <c r="AB3" s="97" t="s">
        <v>210</v>
      </c>
      <c r="AC3" s="956"/>
      <c r="AD3" s="668" t="s">
        <v>5</v>
      </c>
      <c r="AE3" s="98" t="s">
        <v>211</v>
      </c>
      <c r="AF3" s="668" t="s">
        <v>212</v>
      </c>
      <c r="AG3" s="668" t="s">
        <v>211</v>
      </c>
      <c r="AH3" s="956"/>
      <c r="AI3" s="668" t="s">
        <v>213</v>
      </c>
      <c r="AJ3" s="956" t="s">
        <v>7</v>
      </c>
      <c r="AK3" s="956"/>
      <c r="AL3" s="960"/>
      <c r="AM3" s="960"/>
      <c r="AN3" s="960"/>
      <c r="AO3" s="960"/>
      <c r="AP3" s="958"/>
      <c r="AQ3" s="958"/>
      <c r="AR3" s="958"/>
      <c r="AS3" s="958"/>
      <c r="AT3" s="958"/>
      <c r="AU3" s="958"/>
      <c r="AV3" s="99" t="s">
        <v>217</v>
      </c>
      <c r="AW3" s="99" t="s">
        <v>218</v>
      </c>
      <c r="AX3" s="99" t="s">
        <v>219</v>
      </c>
      <c r="AY3" s="100" t="s">
        <v>220</v>
      </c>
      <c r="AZ3" s="100" t="s">
        <v>221</v>
      </c>
      <c r="BA3" s="99" t="s">
        <v>217</v>
      </c>
      <c r="BB3" s="99" t="s">
        <v>218</v>
      </c>
      <c r="BC3" s="99" t="s">
        <v>219</v>
      </c>
      <c r="BD3" s="100" t="s">
        <v>220</v>
      </c>
      <c r="BE3" s="100" t="s">
        <v>221</v>
      </c>
      <c r="BF3" s="101"/>
      <c r="BG3" s="101"/>
    </row>
    <row r="4" spans="1:59" ht="198" customHeight="1" thickBot="1">
      <c r="A4" s="652" t="s">
        <v>51</v>
      </c>
      <c r="B4" s="673" t="s">
        <v>46</v>
      </c>
      <c r="C4" s="673" t="s">
        <v>92</v>
      </c>
      <c r="D4" s="673" t="s">
        <v>12</v>
      </c>
      <c r="E4" s="614" t="s">
        <v>36</v>
      </c>
      <c r="F4" s="629" t="s">
        <v>1229</v>
      </c>
      <c r="G4" s="629" t="s">
        <v>1230</v>
      </c>
      <c r="H4" s="629" t="s">
        <v>1231</v>
      </c>
      <c r="I4" s="614" t="s">
        <v>1232</v>
      </c>
      <c r="J4" s="614" t="s">
        <v>78</v>
      </c>
      <c r="K4" s="614">
        <v>2</v>
      </c>
      <c r="L4" s="617">
        <f>IF(J4="Diaria",+(K4/360),IF(J4="Semanal",+(K4/52),IF(J4="Mensual",+(K4/12),IF(J4="Bimestral",+(K4/6),IF(J4="Trimestral",+(K4/4),IF(J4="Semestral",+(K4/2),IF(J4="Anual",+(K4/1),"")))))))</f>
        <v>0.33333333333333331</v>
      </c>
      <c r="M4" s="614" t="s">
        <v>73</v>
      </c>
      <c r="N4" s="617">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v>
      </c>
      <c r="O4" s="614" t="s">
        <v>48</v>
      </c>
      <c r="P4" s="617">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0.4</v>
      </c>
      <c r="Q4" s="614" t="s">
        <v>73</v>
      </c>
      <c r="R4" s="617">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623" t="s">
        <v>73</v>
      </c>
      <c r="T4" s="623" t="s">
        <v>73</v>
      </c>
      <c r="U4" s="617">
        <f>+MAX(N4,P4,R4)</f>
        <v>0.4</v>
      </c>
      <c r="V4" s="424" t="str">
        <f>IF(L4&lt;=20%,"Muy baja",IF(L4&lt;=40%,"Baja",IF(L4&lt;=60%,"Media",IF(L4&lt;=80%,"Alta",IF(L4&lt;=100%,"Muy alta",IF(L4&gt;=100%,"Muy alta",""))))))</f>
        <v>Baja</v>
      </c>
      <c r="W4" s="617">
        <f>+IFERROR(VLOOKUP(V4,formulas!$F$1:$G$6,2,FALSE),"")</f>
        <v>0.4</v>
      </c>
      <c r="X4" s="630" t="str">
        <f>IF(U4=20%,"Leve",IF(U4=40%,"Menor",IF(U4=60%,"Moderado",IF(U4=80%,"Mayor",IF(U4=100%,"Catastrófico","")))))</f>
        <v>Menor</v>
      </c>
      <c r="Y4" s="617">
        <f>+IFERROR(VLOOKUP(X4,formulas!$H$1:$I$6,2,FALSE),"")</f>
        <v>0.4</v>
      </c>
      <c r="Z4" s="630" t="str">
        <f>+IFERROR(VLOOKUP(V4&amp;X4,formulas!$C$2:$D$26,2,FALSE),"")</f>
        <v>Moderado</v>
      </c>
      <c r="AA4" s="617">
        <f>IF(Z4="Bajo",25%,IF(Z4="Moderado",50%,IF(Z4="Alto",75%,IF(Z4="Extremo",100%,""))))</f>
        <v>0.5</v>
      </c>
      <c r="AB4" s="648" t="s">
        <v>1233</v>
      </c>
      <c r="AC4" s="614" t="s">
        <v>1234</v>
      </c>
      <c r="AD4" s="614" t="s">
        <v>57</v>
      </c>
      <c r="AE4" s="657">
        <f t="shared" ref="AE4:AE12" si="0">IF(AD4="Preventivo",25%,IF(AD4="Detectivo",15%,IF(AD4="Correctivo",10%,"")))</f>
        <v>0.25</v>
      </c>
      <c r="AF4" s="614" t="s">
        <v>229</v>
      </c>
      <c r="AG4" s="657">
        <f>IF(AF4="Manual",15%,IF(AF4="Automático",25%,""))</f>
        <v>0.15</v>
      </c>
      <c r="AH4" s="657">
        <f>+AG4+AE4</f>
        <v>0.4</v>
      </c>
      <c r="AI4" s="614"/>
      <c r="AJ4" s="614" t="s">
        <v>24</v>
      </c>
      <c r="AK4" s="614" t="s">
        <v>1235</v>
      </c>
      <c r="AL4" s="648">
        <f>+AA4*AH4</f>
        <v>0.2</v>
      </c>
      <c r="AM4" s="648">
        <f>+AA4-AL4</f>
        <v>0.3</v>
      </c>
      <c r="AN4" s="630" t="str">
        <f>+IF(C4="Corrupción","Moderado",IF(AM4&lt;=25%,"Bajo",IF(AM4&lt;=50%,"Moderado",IF(AM4&lt;=75%,"Alto",IF(AM4&gt;75%,"Extremo","")))))</f>
        <v>Moderado</v>
      </c>
      <c r="AO4" s="623" t="s">
        <v>59</v>
      </c>
      <c r="AP4" s="209">
        <v>1</v>
      </c>
      <c r="AQ4" s="614" t="s">
        <v>1042</v>
      </c>
      <c r="AR4" s="614" t="s">
        <v>1043</v>
      </c>
      <c r="AS4" s="416"/>
      <c r="AT4" s="636" t="s">
        <v>51</v>
      </c>
      <c r="AU4" s="417" t="s">
        <v>1044</v>
      </c>
      <c r="AV4" s="614"/>
      <c r="AW4" s="614"/>
      <c r="AX4" s="614"/>
      <c r="AY4" s="614"/>
      <c r="AZ4" s="614"/>
      <c r="BA4" s="614"/>
      <c r="BB4" s="614"/>
      <c r="BC4" s="614"/>
      <c r="BD4" s="614"/>
      <c r="BE4" s="614"/>
      <c r="BF4" s="638"/>
      <c r="BG4" s="638"/>
    </row>
    <row r="5" spans="1:59" ht="198" customHeight="1" thickBot="1">
      <c r="A5" s="123" t="s">
        <v>51</v>
      </c>
      <c r="B5" s="124" t="s">
        <v>46</v>
      </c>
      <c r="C5" s="124" t="s">
        <v>58</v>
      </c>
      <c r="D5" s="124" t="s">
        <v>79</v>
      </c>
      <c r="E5" s="175" t="s">
        <v>36</v>
      </c>
      <c r="F5" s="211" t="s">
        <v>456</v>
      </c>
      <c r="G5" s="211" t="s">
        <v>436</v>
      </c>
      <c r="H5" s="211" t="s">
        <v>1236</v>
      </c>
      <c r="I5" s="175" t="s">
        <v>1237</v>
      </c>
      <c r="J5" s="175" t="s">
        <v>33</v>
      </c>
      <c r="K5" s="175">
        <v>0</v>
      </c>
      <c r="L5" s="204">
        <f t="shared" ref="L5:L12" si="1">IF(J5="Diaria",+(K5/360),IF(J5="Semanal",+(K5/52),IF(J5="Mensual",+(K5/12),IF(J5="Bimestral",+(K5/6),IF(J5="Trimestral",+(K5/4),IF(J5="Semestral",+(K5/2),IF(J5="Anual",+(K5/1),"")))))))</f>
        <v>0</v>
      </c>
      <c r="M5" s="175" t="s">
        <v>73</v>
      </c>
      <c r="N5" s="204">
        <f t="shared" ref="N5:N12" si="2">IF(M5="Menor al 1% del patrimonio de la Lotería de Bogotá",20%,IF(M5="Entre el 1% y el 3% del patrimonio de la Lotería de Bogotá",40%,IF(M5="Entre el 3% y el 6% del patrimonio de la Lotería de Bogotá",60%,IF(M5="Entre el 6% y el 10% del patrimonio de la Lotería de Bogotá",80%,IF(M5="Mayor al 10% del patrimonio de la Lotería de Bogotá",100%,IF(M5="NA",0%,""))))))</f>
        <v>0</v>
      </c>
      <c r="O5" s="175" t="s">
        <v>76</v>
      </c>
      <c r="P5" s="204">
        <f t="shared" ref="P5:P12" si="3">IF(O5="El riesgo afecta la imagen de algún área de la organización",20%,IF(O5="El riesgo afecta la imagen de la entidad internamente, de conocimiento general nivel interno, de junta directiva y accionistas y/o de proveedores",40%,IF(O5="El riesgo afecta la imagen de la entidad con algunos usuarios de relevancia frente al logro de los objetivos",60%,IF(O5="El riesgo afecta la imagen de la entidad con efecto publicitario sostenido a nivel de sector administrativo, nivel departamental o municipal",80%,IF(O5="El riesgo afecta la imagen de la entidad a nivel nacional, con efecto publicitario sostenido a nivel país",100%,IF(O5="NA",0%,""))))))</f>
        <v>0.8</v>
      </c>
      <c r="Q5" s="175" t="s">
        <v>73</v>
      </c>
      <c r="R5" s="204">
        <f t="shared" ref="R5:R12" si="4">IF(Q5="Interrupción de la operación por menos de un día",20%,IF(Q5="Interrupción de la operación por un día completo",40%,IF(Q5="Interrupción de la operación mayor a 1 día y menor a 2 días",60%,IF(Q5="Interrupción de la operación por dos días completos",80%,IF(Q5="Interrupción de la operación por más de dos días",100%,IF(Q5="NA",0%,""))))))</f>
        <v>0</v>
      </c>
      <c r="S5" s="174" t="s">
        <v>73</v>
      </c>
      <c r="T5" s="174" t="s">
        <v>73</v>
      </c>
      <c r="U5" s="204">
        <f t="shared" ref="U5:U12" si="5">+MAX(N5,P5,R5)</f>
        <v>0.8</v>
      </c>
      <c r="V5" s="425" t="str">
        <f t="shared" ref="V5:V12" si="6">IF(L5&lt;=20%,"Muy baja",IF(L5&lt;=40%,"Baja",IF(L5&lt;=60%,"Media",IF(L5&lt;=80%,"Alta",IF(L5&lt;=100%,"Muy alta",IF(L5&gt;=100%,"Muy alta",""))))))</f>
        <v>Muy baja</v>
      </c>
      <c r="W5" s="204">
        <f>+IFERROR(VLOOKUP(V5,formulas!$F$1:$G$6,2,FALSE),"")</f>
        <v>0.2</v>
      </c>
      <c r="X5" s="351" t="str">
        <f t="shared" ref="X5:X12" si="7">IF(U5=20%,"Leve",IF(U5=40%,"Menor",IF(U5=60%,"Moderado",IF(U5=80%,"Mayor",IF(U5=100%,"Catastrófico","")))))</f>
        <v>Mayor</v>
      </c>
      <c r="Y5" s="204">
        <f>+IFERROR(VLOOKUP(X5,formulas!$H$1:$I$6,2,FALSE),"")</f>
        <v>0.8</v>
      </c>
      <c r="Z5" s="351" t="str">
        <f>+IFERROR(VLOOKUP(V5&amp;X5,formulas!$C$2:$D$26,2,FALSE),"")</f>
        <v>Alto</v>
      </c>
      <c r="AA5" s="204">
        <f t="shared" ref="AA5:AA12" si="8">IF(Z5="Bajo",25%,IF(Z5="Moderado",50%,IF(Z5="Alto",75%,IF(Z5="Extremo",100%,""))))</f>
        <v>0.75</v>
      </c>
      <c r="AB5" s="205" t="s">
        <v>1238</v>
      </c>
      <c r="AC5" s="175" t="s">
        <v>1239</v>
      </c>
      <c r="AD5" s="175" t="s">
        <v>22</v>
      </c>
      <c r="AE5" s="173">
        <f t="shared" si="0"/>
        <v>0.1</v>
      </c>
      <c r="AF5" s="175" t="s">
        <v>229</v>
      </c>
      <c r="AG5" s="173">
        <f t="shared" ref="AG5:AG12" si="9">IF(AF5="Manual",15%,IF(AF5="Automático",25%,""))</f>
        <v>0.15</v>
      </c>
      <c r="AH5" s="173">
        <f t="shared" ref="AH5:AH12" si="10">+AG5+AE5</f>
        <v>0.25</v>
      </c>
      <c r="AI5" s="401"/>
      <c r="AJ5" s="175" t="s">
        <v>24</v>
      </c>
      <c r="AK5" s="175" t="s">
        <v>1240</v>
      </c>
      <c r="AL5" s="205">
        <f t="shared" ref="AL5:AL12" si="11">+AA5*AH5</f>
        <v>0.1875</v>
      </c>
      <c r="AM5" s="205">
        <f t="shared" ref="AM5:AM12" si="12">+AA5-AL5</f>
        <v>0.5625</v>
      </c>
      <c r="AN5" s="351" t="str">
        <f t="shared" ref="AN5:AN12" si="13">+IF(C5="Corrupción","Moderado",IF(AM5&lt;=25%,"Bajo",IF(AM5&lt;=50%,"Moderado",IF(AM5&lt;=75%,"Alto",IF(AM5&gt;75%,"Extremo","")))))</f>
        <v>Moderado</v>
      </c>
      <c r="AO5" s="174" t="s">
        <v>59</v>
      </c>
      <c r="AP5" s="728"/>
      <c r="AQ5" s="728"/>
      <c r="AR5" s="401"/>
      <c r="AS5" s="401"/>
      <c r="AT5" s="401"/>
      <c r="AU5" s="401"/>
      <c r="AV5" s="370"/>
      <c r="AW5" s="370"/>
      <c r="AX5" s="370"/>
      <c r="AY5" s="370"/>
      <c r="AZ5" s="370"/>
      <c r="BA5" s="370"/>
      <c r="BB5" s="370"/>
      <c r="BC5" s="370"/>
      <c r="BD5" s="370"/>
      <c r="BE5" s="370"/>
      <c r="BF5" s="370"/>
      <c r="BG5" s="370"/>
    </row>
    <row r="6" spans="1:59" ht="198" customHeight="1" thickBot="1">
      <c r="A6" s="123" t="s">
        <v>51</v>
      </c>
      <c r="B6" s="124" t="s">
        <v>46</v>
      </c>
      <c r="C6" s="124" t="s">
        <v>92</v>
      </c>
      <c r="D6" s="124" t="s">
        <v>12</v>
      </c>
      <c r="E6" s="175" t="s">
        <v>36</v>
      </c>
      <c r="F6" s="211" t="s">
        <v>1241</v>
      </c>
      <c r="G6" s="211" t="s">
        <v>1242</v>
      </c>
      <c r="H6" s="211" t="s">
        <v>1243</v>
      </c>
      <c r="I6" s="175" t="s">
        <v>1244</v>
      </c>
      <c r="J6" s="175" t="s">
        <v>33</v>
      </c>
      <c r="K6" s="175">
        <v>0</v>
      </c>
      <c r="L6" s="204">
        <f t="shared" si="1"/>
        <v>0</v>
      </c>
      <c r="M6" s="175" t="s">
        <v>73</v>
      </c>
      <c r="N6" s="204">
        <f t="shared" si="2"/>
        <v>0</v>
      </c>
      <c r="O6" s="175" t="s">
        <v>31</v>
      </c>
      <c r="P6" s="204">
        <f t="shared" si="3"/>
        <v>0.2</v>
      </c>
      <c r="Q6" s="175" t="s">
        <v>73</v>
      </c>
      <c r="R6" s="204">
        <f t="shared" si="4"/>
        <v>0</v>
      </c>
      <c r="S6" s="174" t="s">
        <v>73</v>
      </c>
      <c r="T6" s="174" t="s">
        <v>73</v>
      </c>
      <c r="U6" s="204">
        <f t="shared" si="5"/>
        <v>0.2</v>
      </c>
      <c r="V6" s="425" t="str">
        <f t="shared" si="6"/>
        <v>Muy baja</v>
      </c>
      <c r="W6" s="204">
        <f>+IFERROR(VLOOKUP(V6,formulas!$F$1:$G$6,2,FALSE),"")</f>
        <v>0.2</v>
      </c>
      <c r="X6" s="351" t="str">
        <f t="shared" si="7"/>
        <v>Leve</v>
      </c>
      <c r="Y6" s="204">
        <f>+IFERROR(VLOOKUP(X6,formulas!$H$1:$I$6,2,FALSE),"")</f>
        <v>0.2</v>
      </c>
      <c r="Z6" s="351" t="str">
        <f>+IFERROR(VLOOKUP(V6&amp;X6,formulas!$C$2:$D$26,2,FALSE),"")</f>
        <v>Bajo</v>
      </c>
      <c r="AA6" s="204">
        <f t="shared" si="8"/>
        <v>0.25</v>
      </c>
      <c r="AB6" s="205" t="s">
        <v>1245</v>
      </c>
      <c r="AC6" s="175" t="s">
        <v>1246</v>
      </c>
      <c r="AD6" s="175" t="s">
        <v>57</v>
      </c>
      <c r="AE6" s="173">
        <f t="shared" si="0"/>
        <v>0.25</v>
      </c>
      <c r="AF6" s="175" t="s">
        <v>229</v>
      </c>
      <c r="AG6" s="173">
        <f t="shared" si="9"/>
        <v>0.15</v>
      </c>
      <c r="AH6" s="173">
        <f t="shared" si="10"/>
        <v>0.4</v>
      </c>
      <c r="AI6" s="401"/>
      <c r="AJ6" s="175" t="s">
        <v>24</v>
      </c>
      <c r="AK6" s="175" t="s">
        <v>1247</v>
      </c>
      <c r="AL6" s="205">
        <f t="shared" si="11"/>
        <v>0.1</v>
      </c>
      <c r="AM6" s="205">
        <f t="shared" si="12"/>
        <v>0.15</v>
      </c>
      <c r="AN6" s="351" t="str">
        <f t="shared" si="13"/>
        <v>Bajo</v>
      </c>
      <c r="AO6" s="174" t="s">
        <v>59</v>
      </c>
      <c r="AP6" s="401"/>
      <c r="AQ6" s="401"/>
      <c r="AR6" s="401"/>
      <c r="AS6" s="401"/>
      <c r="AT6" s="401"/>
      <c r="AU6" s="401"/>
      <c r="AV6" s="370"/>
      <c r="AW6" s="370"/>
      <c r="AX6" s="370"/>
      <c r="AY6" s="370"/>
      <c r="AZ6" s="370"/>
      <c r="BA6" s="370"/>
      <c r="BB6" s="370"/>
      <c r="BC6" s="370"/>
      <c r="BD6" s="370"/>
      <c r="BE6" s="370"/>
      <c r="BF6" s="370"/>
      <c r="BG6" s="370"/>
    </row>
    <row r="7" spans="1:59" ht="198" customHeight="1" thickBot="1">
      <c r="A7" s="123" t="s">
        <v>231</v>
      </c>
      <c r="B7" s="124" t="s">
        <v>46</v>
      </c>
      <c r="C7" s="124" t="s">
        <v>92</v>
      </c>
      <c r="D7" s="124" t="s">
        <v>79</v>
      </c>
      <c r="E7" s="175" t="s">
        <v>36</v>
      </c>
      <c r="F7" s="211" t="s">
        <v>519</v>
      </c>
      <c r="G7" s="211" t="s">
        <v>520</v>
      </c>
      <c r="H7" s="211" t="s">
        <v>1248</v>
      </c>
      <c r="I7" s="175" t="s">
        <v>1249</v>
      </c>
      <c r="J7" s="175" t="s">
        <v>66</v>
      </c>
      <c r="K7" s="175">
        <v>1</v>
      </c>
      <c r="L7" s="204">
        <f t="shared" si="1"/>
        <v>8.3333333333333329E-2</v>
      </c>
      <c r="M7" s="175" t="s">
        <v>516</v>
      </c>
      <c r="N7" s="204" t="str">
        <f t="shared" si="2"/>
        <v/>
      </c>
      <c r="O7" s="175" t="s">
        <v>64</v>
      </c>
      <c r="P7" s="204">
        <f t="shared" si="3"/>
        <v>0.6</v>
      </c>
      <c r="Q7" s="175" t="s">
        <v>73</v>
      </c>
      <c r="R7" s="204">
        <f t="shared" si="4"/>
        <v>0</v>
      </c>
      <c r="S7" s="174" t="s">
        <v>60</v>
      </c>
      <c r="T7" s="174" t="s">
        <v>45</v>
      </c>
      <c r="U7" s="204">
        <f t="shared" si="5"/>
        <v>0.6</v>
      </c>
      <c r="V7" s="425" t="str">
        <f t="shared" si="6"/>
        <v>Muy baja</v>
      </c>
      <c r="W7" s="204">
        <f>+IFERROR(VLOOKUP(V7,formulas!$F$1:$G$6,2,FALSE),"")</f>
        <v>0.2</v>
      </c>
      <c r="X7" s="351" t="str">
        <f t="shared" si="7"/>
        <v>Moderado</v>
      </c>
      <c r="Y7" s="204">
        <f>+IFERROR(VLOOKUP(X7,formulas!$H$1:$I$6,2,FALSE),"")</f>
        <v>0.6</v>
      </c>
      <c r="Z7" s="351" t="str">
        <f>+IFERROR(VLOOKUP(V7&amp;X7,formulas!$C$2:$D$26,2,FALSE),"")</f>
        <v>Moderado</v>
      </c>
      <c r="AA7" s="204">
        <f t="shared" si="8"/>
        <v>0.5</v>
      </c>
      <c r="AB7" s="204" t="s">
        <v>523</v>
      </c>
      <c r="AC7" s="210" t="s">
        <v>638</v>
      </c>
      <c r="AD7" s="175" t="s">
        <v>57</v>
      </c>
      <c r="AE7" s="173">
        <f t="shared" si="0"/>
        <v>0.25</v>
      </c>
      <c r="AF7" s="204" t="s">
        <v>229</v>
      </c>
      <c r="AG7" s="173">
        <f t="shared" si="9"/>
        <v>0.15</v>
      </c>
      <c r="AH7" s="173">
        <f t="shared" si="10"/>
        <v>0.4</v>
      </c>
      <c r="AI7" s="401"/>
      <c r="AJ7" s="175" t="s">
        <v>24</v>
      </c>
      <c r="AK7" s="175" t="s">
        <v>639</v>
      </c>
      <c r="AL7" s="205">
        <f t="shared" si="11"/>
        <v>0.2</v>
      </c>
      <c r="AM7" s="205">
        <f t="shared" si="12"/>
        <v>0.3</v>
      </c>
      <c r="AN7" s="351" t="str">
        <f t="shared" si="13"/>
        <v>Moderado</v>
      </c>
      <c r="AO7" s="174" t="s">
        <v>59</v>
      </c>
      <c r="AP7" s="401"/>
      <c r="AQ7" s="401"/>
      <c r="AR7" s="401"/>
      <c r="AS7" s="401"/>
      <c r="AT7" s="401"/>
      <c r="AU7" s="401"/>
      <c r="AV7" s="370"/>
      <c r="AW7" s="370"/>
      <c r="AX7" s="370"/>
      <c r="AY7" s="370"/>
      <c r="AZ7" s="370"/>
      <c r="BA7" s="370"/>
      <c r="BB7" s="370"/>
      <c r="BC7" s="370"/>
      <c r="BD7" s="370"/>
      <c r="BE7" s="370"/>
      <c r="BF7" s="370"/>
      <c r="BG7" s="370"/>
    </row>
    <row r="8" spans="1:59" ht="198" customHeight="1">
      <c r="A8" s="894" t="s">
        <v>51</v>
      </c>
      <c r="B8" s="967" t="s">
        <v>46</v>
      </c>
      <c r="C8" s="967" t="s">
        <v>109</v>
      </c>
      <c r="D8" s="967" t="s">
        <v>582</v>
      </c>
      <c r="E8" s="814" t="s">
        <v>80</v>
      </c>
      <c r="F8" s="628" t="s">
        <v>1250</v>
      </c>
      <c r="G8" s="838" t="s">
        <v>1251</v>
      </c>
      <c r="H8" s="1246" t="s">
        <v>1252</v>
      </c>
      <c r="I8" s="814" t="s">
        <v>1253</v>
      </c>
      <c r="J8" s="814" t="s">
        <v>33</v>
      </c>
      <c r="K8" s="814">
        <v>0</v>
      </c>
      <c r="L8" s="817">
        <f t="shared" si="1"/>
        <v>0</v>
      </c>
      <c r="M8" s="814" t="s">
        <v>73</v>
      </c>
      <c r="N8" s="817">
        <f t="shared" si="2"/>
        <v>0</v>
      </c>
      <c r="O8" s="814" t="s">
        <v>64</v>
      </c>
      <c r="P8" s="817">
        <f t="shared" si="3"/>
        <v>0.6</v>
      </c>
      <c r="Q8" s="814" t="s">
        <v>73</v>
      </c>
      <c r="R8" s="817">
        <f t="shared" si="4"/>
        <v>0</v>
      </c>
      <c r="S8" s="1038" t="s">
        <v>72</v>
      </c>
      <c r="T8" s="826" t="s">
        <v>28</v>
      </c>
      <c r="U8" s="817">
        <f t="shared" si="5"/>
        <v>0.6</v>
      </c>
      <c r="V8" s="914" t="str">
        <f t="shared" si="6"/>
        <v>Muy baja</v>
      </c>
      <c r="W8" s="817">
        <f>+IFERROR(VLOOKUP(V8,formulas!$F$1:$G$6,2,FALSE),"")</f>
        <v>0.2</v>
      </c>
      <c r="X8" s="820" t="str">
        <f t="shared" si="7"/>
        <v>Moderado</v>
      </c>
      <c r="Y8" s="817">
        <f>+IFERROR(VLOOKUP(X8,formulas!$H$1:$I$6,2,FALSE),"")</f>
        <v>0.6</v>
      </c>
      <c r="Z8" s="820" t="str">
        <f>+IFERROR(VLOOKUP(V8&amp;X8,formulas!$C$2:$D$26,2,FALSE),"")</f>
        <v>Moderado</v>
      </c>
      <c r="AA8" s="817">
        <f t="shared" si="8"/>
        <v>0.5</v>
      </c>
      <c r="AB8" s="814" t="s">
        <v>1254</v>
      </c>
      <c r="AC8" s="612" t="s">
        <v>1255</v>
      </c>
      <c r="AD8" s="612" t="s">
        <v>57</v>
      </c>
      <c r="AE8" s="667">
        <f t="shared" si="0"/>
        <v>0.25</v>
      </c>
      <c r="AF8" s="612" t="s">
        <v>229</v>
      </c>
      <c r="AG8" s="667">
        <f t="shared" si="9"/>
        <v>0.15</v>
      </c>
      <c r="AH8" s="667">
        <f t="shared" si="10"/>
        <v>0.4</v>
      </c>
      <c r="AI8" s="399"/>
      <c r="AJ8" s="612"/>
      <c r="AK8" s="612"/>
      <c r="AL8" s="690">
        <f t="shared" si="11"/>
        <v>0.2</v>
      </c>
      <c r="AM8" s="690">
        <f t="shared" si="12"/>
        <v>0.3</v>
      </c>
      <c r="AN8" s="820" t="str">
        <f>+IF(C8="Corrupción","Moderado",IF(AM10&lt;=25%,"Bajo",IF(AM10&lt;=50%,"Moderado",IF(AM10&lt;=75%,"Alto",IF(AM10&gt;75%,"Extremo","")))))</f>
        <v>Bajo</v>
      </c>
      <c r="AO8" s="621" t="s">
        <v>59</v>
      </c>
      <c r="AP8" s="421"/>
      <c r="AQ8" s="421"/>
      <c r="AR8" s="399"/>
      <c r="AS8" s="399"/>
      <c r="AT8" s="399"/>
      <c r="AU8" s="399"/>
      <c r="AV8" s="326"/>
      <c r="AW8" s="326"/>
      <c r="AX8" s="326"/>
      <c r="AY8" s="326"/>
      <c r="AZ8" s="326"/>
      <c r="BA8" s="326"/>
      <c r="BB8" s="326"/>
      <c r="BC8" s="326"/>
      <c r="BD8" s="326"/>
      <c r="BE8" s="326"/>
      <c r="BF8" s="326"/>
      <c r="BG8" s="326"/>
    </row>
    <row r="9" spans="1:59" ht="198" customHeight="1">
      <c r="A9" s="903"/>
      <c r="B9" s="968"/>
      <c r="C9" s="968"/>
      <c r="D9" s="968"/>
      <c r="E9" s="815"/>
      <c r="F9" s="731" t="s">
        <v>1256</v>
      </c>
      <c r="G9" s="1241"/>
      <c r="H9" s="1253"/>
      <c r="I9" s="815"/>
      <c r="J9" s="815"/>
      <c r="K9" s="815"/>
      <c r="L9" s="818" t="str">
        <f t="shared" si="1"/>
        <v/>
      </c>
      <c r="M9" s="815"/>
      <c r="N9" s="818" t="str">
        <f t="shared" si="2"/>
        <v/>
      </c>
      <c r="O9" s="815"/>
      <c r="P9" s="818" t="str">
        <f t="shared" si="3"/>
        <v/>
      </c>
      <c r="Q9" s="815"/>
      <c r="R9" s="818" t="str">
        <f t="shared" si="4"/>
        <v/>
      </c>
      <c r="S9" s="831"/>
      <c r="T9" s="831"/>
      <c r="U9" s="818">
        <f t="shared" si="5"/>
        <v>0</v>
      </c>
      <c r="V9" s="915"/>
      <c r="W9" s="818" t="str">
        <f>+IFERROR(VLOOKUP(V9,formulas!$F$1:$G$6,2,FALSE),"")</f>
        <v/>
      </c>
      <c r="X9" s="821"/>
      <c r="Y9" s="818" t="str">
        <f>+IFERROR(VLOOKUP(X9,formulas!$H$1:$I$6,2,FALSE),"")</f>
        <v/>
      </c>
      <c r="Z9" s="821"/>
      <c r="AA9" s="818" t="str">
        <f t="shared" si="8"/>
        <v/>
      </c>
      <c r="AB9" s="815"/>
      <c r="AC9" s="731" t="s">
        <v>1257</v>
      </c>
      <c r="AD9" s="613" t="s">
        <v>39</v>
      </c>
      <c r="AE9" s="656">
        <f t="shared" si="0"/>
        <v>0.15</v>
      </c>
      <c r="AF9" s="613" t="s">
        <v>229</v>
      </c>
      <c r="AG9" s="656">
        <f t="shared" si="9"/>
        <v>0.15</v>
      </c>
      <c r="AH9" s="656">
        <f t="shared" si="10"/>
        <v>0.3</v>
      </c>
      <c r="AI9" s="403"/>
      <c r="AJ9" s="193" t="s">
        <v>41</v>
      </c>
      <c r="AK9" s="193" t="s">
        <v>516</v>
      </c>
      <c r="AL9" s="647">
        <f>+AM8*AH9</f>
        <v>0.09</v>
      </c>
      <c r="AM9" s="647">
        <f>+AM8-AL9</f>
        <v>0.21</v>
      </c>
      <c r="AN9" s="821"/>
      <c r="AO9" s="622" t="s">
        <v>59</v>
      </c>
      <c r="AP9" s="403"/>
      <c r="AQ9" s="403"/>
      <c r="AR9" s="403"/>
      <c r="AS9" s="403"/>
      <c r="AT9" s="403"/>
      <c r="AU9" s="403"/>
      <c r="AV9" s="36"/>
      <c r="AW9" s="36"/>
      <c r="AX9" s="36"/>
      <c r="AY9" s="36"/>
      <c r="AZ9" s="36"/>
      <c r="BA9" s="36"/>
      <c r="BB9" s="36"/>
      <c r="BC9" s="36"/>
      <c r="BD9" s="36"/>
      <c r="BE9" s="36"/>
      <c r="BF9" s="36"/>
      <c r="BG9" s="36"/>
    </row>
    <row r="10" spans="1:59" ht="198" customHeight="1" thickBot="1">
      <c r="A10" s="895"/>
      <c r="B10" s="969"/>
      <c r="C10" s="969"/>
      <c r="D10" s="969"/>
      <c r="E10" s="816"/>
      <c r="F10" s="629" t="s">
        <v>1258</v>
      </c>
      <c r="G10" s="839"/>
      <c r="H10" s="1247"/>
      <c r="I10" s="816"/>
      <c r="J10" s="816"/>
      <c r="K10" s="816"/>
      <c r="L10" s="819" t="str">
        <f t="shared" si="1"/>
        <v/>
      </c>
      <c r="M10" s="816"/>
      <c r="N10" s="819" t="str">
        <f t="shared" si="2"/>
        <v/>
      </c>
      <c r="O10" s="816"/>
      <c r="P10" s="819" t="str">
        <f t="shared" si="3"/>
        <v/>
      </c>
      <c r="Q10" s="816"/>
      <c r="R10" s="819" t="str">
        <f t="shared" si="4"/>
        <v/>
      </c>
      <c r="S10" s="827"/>
      <c r="T10" s="827"/>
      <c r="U10" s="819">
        <f t="shared" si="5"/>
        <v>0</v>
      </c>
      <c r="V10" s="913"/>
      <c r="W10" s="819" t="str">
        <f>+IFERROR(VLOOKUP(V10,formulas!$F$1:$G$6,2,FALSE),"")</f>
        <v/>
      </c>
      <c r="X10" s="822"/>
      <c r="Y10" s="819" t="str">
        <f>+IFERROR(VLOOKUP(X10,formulas!$H$1:$I$6,2,FALSE),"")</f>
        <v/>
      </c>
      <c r="Z10" s="822"/>
      <c r="AA10" s="819" t="str">
        <f t="shared" si="8"/>
        <v/>
      </c>
      <c r="AB10" s="816"/>
      <c r="AC10" s="629" t="s">
        <v>1259</v>
      </c>
      <c r="AD10" s="614" t="s">
        <v>57</v>
      </c>
      <c r="AE10" s="657">
        <f t="shared" si="0"/>
        <v>0.25</v>
      </c>
      <c r="AF10" s="614" t="s">
        <v>229</v>
      </c>
      <c r="AG10" s="657">
        <f t="shared" si="9"/>
        <v>0.15</v>
      </c>
      <c r="AH10" s="657">
        <f t="shared" si="10"/>
        <v>0.4</v>
      </c>
      <c r="AI10" s="397"/>
      <c r="AJ10" s="732" t="s">
        <v>41</v>
      </c>
      <c r="AK10" s="732" t="s">
        <v>516</v>
      </c>
      <c r="AL10" s="648">
        <f>+AM9*AH10</f>
        <v>8.4000000000000005E-2</v>
      </c>
      <c r="AM10" s="648">
        <f>+AM9-AL10</f>
        <v>0.126</v>
      </c>
      <c r="AN10" s="822"/>
      <c r="AO10" s="623" t="s">
        <v>59</v>
      </c>
      <c r="AP10" s="397"/>
      <c r="AQ10" s="397"/>
      <c r="AR10" s="397"/>
      <c r="AS10" s="397"/>
      <c r="AT10" s="397"/>
      <c r="AU10" s="397"/>
      <c r="AV10" s="328"/>
      <c r="AW10" s="328"/>
      <c r="AX10" s="328"/>
      <c r="AY10" s="328"/>
      <c r="AZ10" s="328"/>
      <c r="BA10" s="328"/>
      <c r="BB10" s="328"/>
      <c r="BC10" s="328"/>
      <c r="BD10" s="328"/>
      <c r="BE10" s="328"/>
      <c r="BF10" s="328"/>
      <c r="BG10" s="328"/>
    </row>
    <row r="11" spans="1:59" ht="249.75" customHeight="1" thickBot="1">
      <c r="A11" s="113" t="s">
        <v>51</v>
      </c>
      <c r="B11" s="114" t="s">
        <v>541</v>
      </c>
      <c r="C11" s="114" t="s">
        <v>58</v>
      </c>
      <c r="D11" s="114" t="s">
        <v>79</v>
      </c>
      <c r="E11" s="175" t="s">
        <v>80</v>
      </c>
      <c r="F11" s="564" t="s">
        <v>542</v>
      </c>
      <c r="G11" s="212" t="s">
        <v>457</v>
      </c>
      <c r="H11" s="564" t="s">
        <v>543</v>
      </c>
      <c r="I11" s="564" t="s">
        <v>544</v>
      </c>
      <c r="J11" s="213" t="s">
        <v>95</v>
      </c>
      <c r="K11" s="211">
        <v>1</v>
      </c>
      <c r="L11" s="394">
        <f t="shared" si="1"/>
        <v>0.5</v>
      </c>
      <c r="M11" s="211" t="s">
        <v>47</v>
      </c>
      <c r="N11" s="394">
        <f t="shared" si="2"/>
        <v>0.4</v>
      </c>
      <c r="O11" s="214" t="s">
        <v>76</v>
      </c>
      <c r="P11" s="394">
        <f t="shared" si="3"/>
        <v>0.8</v>
      </c>
      <c r="Q11" s="211" t="s">
        <v>73</v>
      </c>
      <c r="R11" s="394">
        <f t="shared" si="4"/>
        <v>0</v>
      </c>
      <c r="S11" s="215" t="s">
        <v>60</v>
      </c>
      <c r="T11" s="215" t="s">
        <v>73</v>
      </c>
      <c r="U11" s="394">
        <f t="shared" si="5"/>
        <v>0.8</v>
      </c>
      <c r="V11" s="425" t="str">
        <f t="shared" si="6"/>
        <v>Media</v>
      </c>
      <c r="W11" s="394">
        <f>+IFERROR(VLOOKUP(V11,formulas!$F$1:$G$6,2,FALSE),"")</f>
        <v>0.6</v>
      </c>
      <c r="X11" s="351" t="str">
        <f t="shared" si="7"/>
        <v>Mayor</v>
      </c>
      <c r="Y11" s="394">
        <f>+IFERROR(VLOOKUP(X11,formulas!$H$1:$I$6,2,FALSE),"")</f>
        <v>0.8</v>
      </c>
      <c r="Z11" s="351" t="str">
        <f>+IFERROR(VLOOKUP(V11&amp;X11,formulas!$C$2:$D$26,2,FALSE),"")</f>
        <v>Alto</v>
      </c>
      <c r="AA11" s="394">
        <f t="shared" si="8"/>
        <v>0.75</v>
      </c>
      <c r="AB11" s="205"/>
      <c r="AC11" s="749" t="s">
        <v>545</v>
      </c>
      <c r="AD11" s="211" t="s">
        <v>57</v>
      </c>
      <c r="AE11" s="173">
        <f t="shared" si="0"/>
        <v>0.25</v>
      </c>
      <c r="AF11" s="211" t="s">
        <v>229</v>
      </c>
      <c r="AG11" s="173">
        <f t="shared" si="9"/>
        <v>0.15</v>
      </c>
      <c r="AH11" s="173">
        <f t="shared" si="10"/>
        <v>0.4</v>
      </c>
      <c r="AI11" s="211" t="s">
        <v>230</v>
      </c>
      <c r="AJ11" s="211" t="s">
        <v>24</v>
      </c>
      <c r="AK11" s="211" t="s">
        <v>546</v>
      </c>
      <c r="AL11" s="205">
        <f t="shared" si="11"/>
        <v>0.30000000000000004</v>
      </c>
      <c r="AM11" s="205">
        <f t="shared" si="12"/>
        <v>0.44999999999999996</v>
      </c>
      <c r="AN11" s="351" t="str">
        <f t="shared" si="13"/>
        <v>Moderado</v>
      </c>
      <c r="AO11" s="174" t="s">
        <v>59</v>
      </c>
      <c r="AP11" s="401"/>
      <c r="AQ11" s="401"/>
      <c r="AR11" s="401"/>
      <c r="AS11" s="401"/>
      <c r="AT11" s="401"/>
      <c r="AU11" s="401"/>
      <c r="AV11" s="370"/>
      <c r="AW11" s="370"/>
      <c r="AX11" s="370"/>
      <c r="AY11" s="370"/>
      <c r="AZ11" s="370"/>
      <c r="BA11" s="370"/>
      <c r="BB11" s="370"/>
      <c r="BC11" s="370"/>
      <c r="BD11" s="370"/>
      <c r="BE11" s="370"/>
      <c r="BF11" s="370"/>
      <c r="BG11" s="370"/>
    </row>
    <row r="12" spans="1:59" ht="198" customHeight="1" thickBot="1">
      <c r="A12" s="123" t="s">
        <v>231</v>
      </c>
      <c r="B12" s="124" t="s">
        <v>29</v>
      </c>
      <c r="C12" s="124" t="s">
        <v>92</v>
      </c>
      <c r="D12" s="124" t="s">
        <v>79</v>
      </c>
      <c r="E12" s="175" t="s">
        <v>36</v>
      </c>
      <c r="F12" s="175" t="s">
        <v>547</v>
      </c>
      <c r="G12" s="175" t="s">
        <v>548</v>
      </c>
      <c r="H12" s="742" t="s">
        <v>549</v>
      </c>
      <c r="I12" s="175" t="s">
        <v>550</v>
      </c>
      <c r="J12" s="175" t="s">
        <v>66</v>
      </c>
      <c r="K12" s="175">
        <v>1</v>
      </c>
      <c r="L12" s="204">
        <f t="shared" si="1"/>
        <v>8.3333333333333329E-2</v>
      </c>
      <c r="M12" s="175" t="s">
        <v>73</v>
      </c>
      <c r="N12" s="204">
        <f t="shared" si="2"/>
        <v>0</v>
      </c>
      <c r="O12" s="175" t="s">
        <v>31</v>
      </c>
      <c r="P12" s="204">
        <f t="shared" si="3"/>
        <v>0.2</v>
      </c>
      <c r="Q12" s="175" t="s">
        <v>73</v>
      </c>
      <c r="R12" s="204">
        <f t="shared" si="4"/>
        <v>0</v>
      </c>
      <c r="S12" s="174" t="s">
        <v>60</v>
      </c>
      <c r="T12" s="658" t="s">
        <v>45</v>
      </c>
      <c r="U12" s="204">
        <f t="shared" si="5"/>
        <v>0.2</v>
      </c>
      <c r="V12" s="425" t="str">
        <f t="shared" si="6"/>
        <v>Muy baja</v>
      </c>
      <c r="W12" s="204">
        <f>+IFERROR(VLOOKUP(V12,formulas!$F$1:$G$6,2,FALSE),"")</f>
        <v>0.2</v>
      </c>
      <c r="X12" s="351" t="str">
        <f t="shared" si="7"/>
        <v>Leve</v>
      </c>
      <c r="Y12" s="204">
        <f>+IFERROR(VLOOKUP(X12,formulas!$H$1:$I$6,2,FALSE),"")</f>
        <v>0.2</v>
      </c>
      <c r="Z12" s="351" t="str">
        <f>+IFERROR(VLOOKUP(V12&amp;X12,formulas!$C$2:$D$26,2,FALSE),"")</f>
        <v>Bajo</v>
      </c>
      <c r="AA12" s="204">
        <f t="shared" si="8"/>
        <v>0.25</v>
      </c>
      <c r="AB12" s="204" t="s">
        <v>551</v>
      </c>
      <c r="AC12" s="742" t="s">
        <v>552</v>
      </c>
      <c r="AD12" s="175" t="s">
        <v>57</v>
      </c>
      <c r="AE12" s="173">
        <f t="shared" si="0"/>
        <v>0.25</v>
      </c>
      <c r="AF12" s="175" t="s">
        <v>553</v>
      </c>
      <c r="AG12" s="173">
        <f t="shared" si="9"/>
        <v>0.25</v>
      </c>
      <c r="AH12" s="173">
        <f t="shared" si="10"/>
        <v>0.5</v>
      </c>
      <c r="AI12" s="401"/>
      <c r="AJ12" s="175" t="s">
        <v>24</v>
      </c>
      <c r="AK12" s="175" t="s">
        <v>554</v>
      </c>
      <c r="AL12" s="205">
        <f t="shared" si="11"/>
        <v>0.125</v>
      </c>
      <c r="AM12" s="205">
        <f t="shared" si="12"/>
        <v>0.125</v>
      </c>
      <c r="AN12" s="351" t="str">
        <f t="shared" si="13"/>
        <v>Bajo</v>
      </c>
      <c r="AO12" s="174" t="s">
        <v>59</v>
      </c>
      <c r="AP12" s="401"/>
      <c r="AQ12" s="401"/>
      <c r="AR12" s="401"/>
      <c r="AS12" s="401"/>
      <c r="AT12" s="401"/>
      <c r="AU12" s="401"/>
      <c r="AV12" s="370"/>
      <c r="AW12" s="370"/>
      <c r="AX12" s="370"/>
      <c r="AY12" s="370"/>
      <c r="AZ12" s="370"/>
      <c r="BA12" s="370"/>
      <c r="BB12" s="370"/>
      <c r="BC12" s="370"/>
      <c r="BD12" s="370"/>
      <c r="BE12" s="370"/>
      <c r="BF12" s="370"/>
      <c r="BG12" s="370"/>
    </row>
  </sheetData>
  <mergeCells count="49">
    <mergeCell ref="AO2:AO3"/>
    <mergeCell ref="AA8:AA10"/>
    <mergeCell ref="AH2:AH3"/>
    <mergeCell ref="AI2:AK2"/>
    <mergeCell ref="AV1:BE1"/>
    <mergeCell ref="AC2:AC3"/>
    <mergeCell ref="BA2:BE2"/>
    <mergeCell ref="AS2:AS3"/>
    <mergeCell ref="AT2:AT3"/>
    <mergeCell ref="AU2:AU3"/>
    <mergeCell ref="AV2:AZ2"/>
    <mergeCell ref="AR2:AR3"/>
    <mergeCell ref="AC1:AK1"/>
    <mergeCell ref="AM1:AO1"/>
    <mergeCell ref="AP1:AU1"/>
    <mergeCell ref="AJ3:AK3"/>
    <mergeCell ref="AL2:AN3"/>
    <mergeCell ref="M8:M10"/>
    <mergeCell ref="AP2:AQ3"/>
    <mergeCell ref="AD2:AG2"/>
    <mergeCell ref="U1:AB2"/>
    <mergeCell ref="Q8:Q10"/>
    <mergeCell ref="S8:S10"/>
    <mergeCell ref="T8:T10"/>
    <mergeCell ref="A1:T2"/>
    <mergeCell ref="G3:H3"/>
    <mergeCell ref="A8:A10"/>
    <mergeCell ref="B8:B10"/>
    <mergeCell ref="C8:C10"/>
    <mergeCell ref="D8:D10"/>
    <mergeCell ref="E8:E10"/>
    <mergeCell ref="H8:H10"/>
    <mergeCell ref="G8:G10"/>
    <mergeCell ref="I8:I10"/>
    <mergeCell ref="J8:J10"/>
    <mergeCell ref="K8:K10"/>
    <mergeCell ref="AB8:AB10"/>
    <mergeCell ref="AN8:AN10"/>
    <mergeCell ref="U8:U10"/>
    <mergeCell ref="V8:V10"/>
    <mergeCell ref="W8:W10"/>
    <mergeCell ref="X8:X10"/>
    <mergeCell ref="Y8:Y10"/>
    <mergeCell ref="Z8:Z10"/>
    <mergeCell ref="L8:L10"/>
    <mergeCell ref="N8:N10"/>
    <mergeCell ref="R8:R10"/>
    <mergeCell ref="P8:P10"/>
    <mergeCell ref="O8:O10"/>
  </mergeCells>
  <conditionalFormatting sqref="V4:V8 V11:V12">
    <cfRule type="expression" dxfId="38" priority="37" stopIfTrue="1">
      <formula>NOT(ISERROR(SEARCH("Muy alta",V4)))</formula>
    </cfRule>
    <cfRule type="expression" dxfId="37" priority="38" stopIfTrue="1">
      <formula>NOT(ISERROR(SEARCH("Alta",V4)))</formula>
    </cfRule>
    <cfRule type="expression" dxfId="36" priority="39" stopIfTrue="1">
      <formula>NOT(ISERROR(SEARCH("Media",V4)))</formula>
    </cfRule>
  </conditionalFormatting>
  <conditionalFormatting sqref="X4:X8 X11:X12">
    <cfRule type="containsText" dxfId="35" priority="9" operator="containsText" text="Catastrófico">
      <formula>NOT(ISERROR(SEARCH("Catastrófico",X4)))</formula>
    </cfRule>
    <cfRule type="containsText" dxfId="34" priority="10" operator="containsText" text="Mayor">
      <formula>NOT(ISERROR(SEARCH("Mayor",X4)))</formula>
    </cfRule>
    <cfRule type="containsText" dxfId="33" priority="11" operator="containsText" text="Moderado">
      <formula>NOT(ISERROR(SEARCH("Moderado",X4)))</formula>
    </cfRule>
    <cfRule type="containsText" dxfId="32" priority="12" operator="containsText" text="Menor">
      <formula>NOT(ISERROR(SEARCH("Menor",X4)))</formula>
    </cfRule>
    <cfRule type="containsText" dxfId="31" priority="13" operator="containsText" text="Leve">
      <formula>NOT(ISERROR(SEARCH("Leve",X4)))</formula>
    </cfRule>
  </conditionalFormatting>
  <conditionalFormatting sqref="Z4:Z8 Z11:Z12">
    <cfRule type="containsText" dxfId="30" priority="5" operator="containsText" text="Alto">
      <formula>NOT(ISERROR(SEARCH("Alto",Z4)))</formula>
    </cfRule>
    <cfRule type="containsText" dxfId="29" priority="6" operator="containsText" text="Moderado">
      <formula>NOT(ISERROR(SEARCH("Moderado",Z4)))</formula>
    </cfRule>
    <cfRule type="containsText" dxfId="28" priority="7" operator="containsText" text="Extremo">
      <formula>NOT(ISERROR(SEARCH("Extremo",Z4)))</formula>
    </cfRule>
    <cfRule type="containsText" dxfId="27" priority="8" operator="containsText" text="Bajo">
      <formula>NOT(ISERROR(SEARCH("Bajo",Z4)))</formula>
    </cfRule>
  </conditionalFormatting>
  <conditionalFormatting sqref="AC5">
    <cfRule type="containsText" dxfId="26" priority="28" operator="containsText" text="BAJA">
      <formula>NOT(ISERROR(SEARCH("BAJA",AC5)))</formula>
    </cfRule>
    <cfRule type="containsText" dxfId="25" priority="29" operator="containsText" text="MEDIA">
      <formula>NOT(ISERROR(SEARCH("MEDIA",AC5)))</formula>
    </cfRule>
    <cfRule type="containsText" dxfId="24" priority="30" operator="containsText" text="ALTA">
      <formula>NOT(ISERROR(SEARCH("ALTA",AC5)))</formula>
    </cfRule>
  </conditionalFormatting>
  <conditionalFormatting sqref="AI4">
    <cfRule type="containsText" dxfId="23" priority="34" operator="containsText" text="BAJA">
      <formula>NOT(ISERROR(SEARCH("BAJA",AI4)))</formula>
    </cfRule>
    <cfRule type="containsText" dxfId="22" priority="35" operator="containsText" text="MEDIA">
      <formula>NOT(ISERROR(SEARCH("MEDIA",AI4)))</formula>
    </cfRule>
    <cfRule type="containsText" dxfId="21" priority="36" operator="containsText" text="ALTA">
      <formula>NOT(ISERROR(SEARCH("ALTA",AI4)))</formula>
    </cfRule>
  </conditionalFormatting>
  <conditionalFormatting sqref="AI11">
    <cfRule type="containsText" dxfId="20" priority="22" operator="containsText" text="BAJA">
      <formula>NOT(ISERROR(SEARCH("BAJA",AI11)))</formula>
    </cfRule>
    <cfRule type="containsText" dxfId="19" priority="23" operator="containsText" text="MEDIA">
      <formula>NOT(ISERROR(SEARCH("MEDIA",AI11)))</formula>
    </cfRule>
    <cfRule type="containsText" dxfId="18" priority="24" operator="containsText" text="ALTA">
      <formula>NOT(ISERROR(SEARCH("ALTA",AI11)))</formula>
    </cfRule>
  </conditionalFormatting>
  <conditionalFormatting sqref="AJ7:AK7">
    <cfRule type="containsText" dxfId="17" priority="19" operator="containsText" text="BAJA">
      <formula>NOT(ISERROR(SEARCH("BAJA",AJ7)))</formula>
    </cfRule>
    <cfRule type="containsText" dxfId="16" priority="20" operator="containsText" text="MEDIA">
      <formula>NOT(ISERROR(SEARCH("MEDIA",AJ7)))</formula>
    </cfRule>
    <cfRule type="containsText" dxfId="15" priority="21" operator="containsText" text="ALTA">
      <formula>NOT(ISERROR(SEARCH("ALTA",AJ7)))</formula>
    </cfRule>
  </conditionalFormatting>
  <dataValidations count="3">
    <dataValidation type="list" allowBlank="1" showInputMessage="1" showErrorMessage="1" sqref="A4:A12">
      <formula1>"SI,NO"</formula1>
    </dataValidation>
    <dataValidation type="list" allowBlank="1" showInputMessage="1" showErrorMessage="1" sqref="AF4:AF12">
      <formula1>"Manual,Automático"</formula1>
    </dataValidation>
    <dataValidation type="list" allowBlank="1" showInputMessage="1" showErrorMessage="1" sqref="AI4:AI12">
      <formula1>"Confiable,No confiable"</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6"/>
  <sheetViews>
    <sheetView zoomScale="71" zoomScaleNormal="71" workbookViewId="0">
      <selection sqref="A1:T2"/>
    </sheetView>
  </sheetViews>
  <sheetFormatPr baseColWidth="10" defaultColWidth="9.140625" defaultRowHeight="104.45" customHeight="1"/>
  <cols>
    <col min="1" max="1" width="11.42578125" customWidth="1"/>
    <col min="2" max="2" width="20.28515625" customWidth="1"/>
    <col min="3" max="3" width="21" customWidth="1"/>
    <col min="4" max="4" width="18.7109375" customWidth="1"/>
    <col min="5" max="5" width="21.140625" customWidth="1"/>
    <col min="6" max="6" width="71.140625" customWidth="1"/>
    <col min="7" max="7" width="11.42578125" customWidth="1"/>
    <col min="8" max="8" width="55.42578125" customWidth="1"/>
    <col min="9" max="9" width="32" customWidth="1"/>
    <col min="10" max="12" width="11.42578125" customWidth="1"/>
    <col min="13" max="13" width="20.28515625" customWidth="1"/>
    <col min="14" max="14" width="11.42578125" customWidth="1"/>
    <col min="15" max="15" width="21.28515625" customWidth="1"/>
    <col min="16" max="18" width="11.42578125" customWidth="1"/>
    <col min="19" max="19" width="17.42578125" customWidth="1"/>
    <col min="20" max="20" width="24.7109375" customWidth="1"/>
    <col min="21" max="27" width="11.42578125" customWidth="1"/>
    <col min="28" max="28" width="26" customWidth="1"/>
    <col min="29" max="29" width="97.5703125" customWidth="1"/>
    <col min="30" max="35" width="11.42578125" customWidth="1"/>
    <col min="36" max="36" width="21" customWidth="1"/>
    <col min="37" max="37" width="24.28515625" customWidth="1"/>
    <col min="38" max="42" width="11.42578125" customWidth="1"/>
    <col min="43" max="43" width="36.140625" customWidth="1"/>
    <col min="44" max="44" width="32.85546875" customWidth="1"/>
    <col min="45" max="256" width="11.42578125" customWidth="1"/>
  </cols>
  <sheetData>
    <row r="1" spans="1:59" ht="59.45" customHeight="1">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85" t="s">
        <v>467</v>
      </c>
      <c r="BG1" s="85" t="s">
        <v>468</v>
      </c>
    </row>
    <row r="2" spans="1:59" ht="45.6" customHeight="1">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93"/>
      <c r="BG2" s="93"/>
    </row>
    <row r="3" spans="1:59" ht="104.45" customHeight="1">
      <c r="A3" s="669" t="s">
        <v>199</v>
      </c>
      <c r="B3" s="669" t="s">
        <v>144</v>
      </c>
      <c r="C3" s="669" t="s">
        <v>6</v>
      </c>
      <c r="D3" s="669" t="s">
        <v>1</v>
      </c>
      <c r="E3" s="669" t="s">
        <v>2</v>
      </c>
      <c r="F3" s="669" t="s">
        <v>200</v>
      </c>
      <c r="G3" s="957" t="s">
        <v>201</v>
      </c>
      <c r="H3" s="957"/>
      <c r="I3" s="669" t="s">
        <v>202</v>
      </c>
      <c r="J3" s="669" t="s">
        <v>16</v>
      </c>
      <c r="K3" s="669" t="s">
        <v>203</v>
      </c>
      <c r="L3" s="669" t="s">
        <v>204</v>
      </c>
      <c r="M3" s="669" t="s">
        <v>13</v>
      </c>
      <c r="N3" s="669" t="s">
        <v>176</v>
      </c>
      <c r="O3" s="669" t="s">
        <v>14</v>
      </c>
      <c r="P3" s="669" t="s">
        <v>176</v>
      </c>
      <c r="Q3" s="669" t="s">
        <v>15</v>
      </c>
      <c r="R3" s="669" t="s">
        <v>176</v>
      </c>
      <c r="S3" s="669" t="s">
        <v>205</v>
      </c>
      <c r="T3" s="669" t="s">
        <v>11</v>
      </c>
      <c r="U3" s="96" t="s">
        <v>206</v>
      </c>
      <c r="V3" s="97" t="s">
        <v>207</v>
      </c>
      <c r="W3" s="96" t="s">
        <v>176</v>
      </c>
      <c r="X3" s="97" t="s">
        <v>208</v>
      </c>
      <c r="Y3" s="96" t="s">
        <v>176</v>
      </c>
      <c r="Z3" s="97" t="s">
        <v>209</v>
      </c>
      <c r="AA3" s="97" t="s">
        <v>176</v>
      </c>
      <c r="AB3" s="97" t="s">
        <v>210</v>
      </c>
      <c r="AC3" s="956"/>
      <c r="AD3" s="668" t="s">
        <v>5</v>
      </c>
      <c r="AE3" s="98" t="s">
        <v>211</v>
      </c>
      <c r="AF3" s="668" t="s">
        <v>212</v>
      </c>
      <c r="AG3" s="668" t="s">
        <v>211</v>
      </c>
      <c r="AH3" s="956"/>
      <c r="AI3" s="668" t="s">
        <v>213</v>
      </c>
      <c r="AJ3" s="956" t="s">
        <v>7</v>
      </c>
      <c r="AK3" s="956"/>
      <c r="AL3" s="960"/>
      <c r="AM3" s="960"/>
      <c r="AN3" s="960"/>
      <c r="AO3" s="960"/>
      <c r="AP3" s="958"/>
      <c r="AQ3" s="958"/>
      <c r="AR3" s="958"/>
      <c r="AS3" s="958"/>
      <c r="AT3" s="958"/>
      <c r="AU3" s="958"/>
      <c r="AV3" s="99" t="s">
        <v>217</v>
      </c>
      <c r="AW3" s="99" t="s">
        <v>218</v>
      </c>
      <c r="AX3" s="99" t="s">
        <v>219</v>
      </c>
      <c r="AY3" s="100" t="s">
        <v>220</v>
      </c>
      <c r="AZ3" s="100" t="s">
        <v>221</v>
      </c>
      <c r="BA3" s="99" t="s">
        <v>217</v>
      </c>
      <c r="BB3" s="99" t="s">
        <v>218</v>
      </c>
      <c r="BC3" s="99" t="s">
        <v>219</v>
      </c>
      <c r="BD3" s="100" t="s">
        <v>220</v>
      </c>
      <c r="BE3" s="100" t="s">
        <v>221</v>
      </c>
      <c r="BF3" s="101"/>
      <c r="BG3" s="101"/>
    </row>
    <row r="4" spans="1:59" ht="180" customHeight="1" thickBot="1">
      <c r="A4" s="623" t="s">
        <v>51</v>
      </c>
      <c r="B4" s="614" t="s">
        <v>1260</v>
      </c>
      <c r="C4" s="614" t="s">
        <v>109</v>
      </c>
      <c r="D4" s="614" t="s">
        <v>582</v>
      </c>
      <c r="E4" s="614" t="s">
        <v>91</v>
      </c>
      <c r="F4" s="614" t="s">
        <v>1261</v>
      </c>
      <c r="G4" s="614" t="s">
        <v>1262</v>
      </c>
      <c r="H4" s="732" t="s">
        <v>1263</v>
      </c>
      <c r="I4" s="732" t="s">
        <v>1013</v>
      </c>
      <c r="J4" s="614" t="s">
        <v>33</v>
      </c>
      <c r="K4" s="614">
        <v>72</v>
      </c>
      <c r="L4" s="657">
        <f>IF(J4="Diaria",+(K4/360),IF(J4="Semanal",+(K4/52),IF(J4="Mensual",+(K4/12),IF(J4="Bimestral",+(K4/6),IF(J4="Trimestral",+(K4/4),IF(J4="Semestral",+(K4/2),IF(J4="Anual",+(K4/1),"")))))))</f>
        <v>0.2</v>
      </c>
      <c r="M4" s="614" t="s">
        <v>73</v>
      </c>
      <c r="N4" s="657">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v>
      </c>
      <c r="O4" s="422" t="s">
        <v>76</v>
      </c>
      <c r="P4" s="657">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0.8</v>
      </c>
      <c r="Q4" s="614" t="s">
        <v>73</v>
      </c>
      <c r="R4" s="657">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623" t="s">
        <v>72</v>
      </c>
      <c r="T4" s="623" t="s">
        <v>28</v>
      </c>
      <c r="U4" s="657">
        <f>+MAX(N4,P4,R4)</f>
        <v>0.8</v>
      </c>
      <c r="V4" s="631" t="str">
        <f>IF(L4&lt;=20%,"Muy baja",IF(L4&lt;=40%,"Baja",IF(L4&lt;=60%,"Media",IF(L4&lt;=80%,"Alta",IF(L4&lt;=100%,"Muy alta",IF(L4&gt;=100%,"Muy alta",""))))))</f>
        <v>Muy baja</v>
      </c>
      <c r="W4" s="657">
        <f>+IFERROR(VLOOKUP(V4,formulas!$F$1:$G$6,2,FALSE),"")</f>
        <v>0.2</v>
      </c>
      <c r="X4" s="630" t="str">
        <f>IF(U4=20%,"Leve",IF(U4=40%,"Menor",IF(U4=60%,"Moderado",IF(U4=80%,"Mayor",IF(U4=100%,"Catastrófico","")))))</f>
        <v>Mayor</v>
      </c>
      <c r="Y4" s="657">
        <f>+IFERROR(VLOOKUP(X4,formulas!$H$1:$I$6,2,FALSE),"")</f>
        <v>0.8</v>
      </c>
      <c r="Z4" s="630" t="str">
        <f>+IFERROR(VLOOKUP(V4&amp;X4,formulas!$C$2:$D$26,2,FALSE),"")</f>
        <v>Alto</v>
      </c>
      <c r="AA4" s="657">
        <f>IF(Z4="Bajo",25%,IF(Z4="Moderado",50%,IF(Z4="Alto",75%,IF(Z4="Extremo",100%,""))))</f>
        <v>0.75</v>
      </c>
      <c r="AB4" s="663" t="s">
        <v>1264</v>
      </c>
      <c r="AC4" s="606" t="s">
        <v>1265</v>
      </c>
      <c r="AD4" s="614" t="s">
        <v>57</v>
      </c>
      <c r="AE4" s="657">
        <f>IF(AD4="Preventivo",25%,IF(AD4="Detectivo",15%,IF(AD4="Correctivo",10%,"")))</f>
        <v>0.25</v>
      </c>
      <c r="AF4" s="614" t="s">
        <v>229</v>
      </c>
      <c r="AG4" s="657">
        <f>IF(AF4="Manual",15%,IF(AF4="Automático",25%,""))</f>
        <v>0.15</v>
      </c>
      <c r="AH4" s="657">
        <f>+AG4+AE4</f>
        <v>0.4</v>
      </c>
      <c r="AI4" s="732" t="s">
        <v>230</v>
      </c>
      <c r="AJ4" s="614" t="s">
        <v>24</v>
      </c>
      <c r="AK4" s="732" t="s">
        <v>1266</v>
      </c>
      <c r="AL4" s="648">
        <f>+AA4*AH4</f>
        <v>0.30000000000000004</v>
      </c>
      <c r="AM4" s="648">
        <f>+AA4-AL4</f>
        <v>0.44999999999999996</v>
      </c>
      <c r="AN4" s="630" t="str">
        <f>+IF(C4="Corrupción","Moderado",IF(AM4&lt;=25%,"Bajo",IF(AM4&lt;=50%,"Moderado",IF(AM4&lt;=75%,"Alto",IF(AM4&gt;75%,"Extremo","")))))</f>
        <v>Moderado</v>
      </c>
      <c r="AO4" s="623" t="s">
        <v>59</v>
      </c>
      <c r="AP4" s="209">
        <v>1</v>
      </c>
      <c r="AQ4" s="614" t="s">
        <v>1267</v>
      </c>
      <c r="AR4" s="614" t="s">
        <v>1268</v>
      </c>
      <c r="AS4" s="416"/>
      <c r="AT4" s="636"/>
      <c r="AU4" s="417"/>
      <c r="AV4" s="614"/>
      <c r="AW4" s="614"/>
      <c r="AX4" s="614"/>
      <c r="AY4" s="614"/>
      <c r="AZ4" s="614"/>
      <c r="BA4" s="614"/>
      <c r="BB4" s="614"/>
      <c r="BC4" s="614"/>
      <c r="BD4" s="614"/>
      <c r="BE4" s="614"/>
      <c r="BF4" s="638"/>
      <c r="BG4" s="638"/>
    </row>
    <row r="5" spans="1:59" ht="200.25" customHeight="1" thickBot="1">
      <c r="A5" s="174" t="s">
        <v>51</v>
      </c>
      <c r="B5" s="175" t="s">
        <v>541</v>
      </c>
      <c r="C5" s="175" t="s">
        <v>58</v>
      </c>
      <c r="D5" s="175" t="s">
        <v>79</v>
      </c>
      <c r="E5" s="175" t="s">
        <v>80</v>
      </c>
      <c r="F5" s="564" t="s">
        <v>542</v>
      </c>
      <c r="G5" s="212" t="s">
        <v>457</v>
      </c>
      <c r="H5" s="732" t="s">
        <v>543</v>
      </c>
      <c r="I5" s="732" t="s">
        <v>544</v>
      </c>
      <c r="J5" s="213" t="s">
        <v>95</v>
      </c>
      <c r="K5" s="211">
        <v>1</v>
      </c>
      <c r="L5" s="173">
        <f>IF(J5="Diaria",+(K5/360),IF(J5="Semanal",+(K5/52),IF(J5="Mensual",+(K5/12),IF(J5="Bimestral",+(K5/6),IF(J5="Trimestral",+(K5/4),IF(J5="Semestral",+(K5/2),IF(J5="Anual",+(K5/1),"")))))))</f>
        <v>0.5</v>
      </c>
      <c r="M5" s="211" t="s">
        <v>47</v>
      </c>
      <c r="N5" s="173">
        <f>IF(M5="Menor al 1% del patrimonio de la Lotería de Bogotá",20%,IF(M5="Entre el 1% y el 3% del patrimonio de la Lotería de Bogotá",40%,IF(M5="Entre el 3% y el 6% del patrimonio de la Lotería de Bogotá",60%,IF(M5="Entre el 6% y el 10% del patrimonio de la Lotería de Bogotá",80%,IF(M5="Mayor al 10% del patrimonio de la Lotería de Bogotá",100%,IF(M5="NA",0%,""))))))</f>
        <v>0.4</v>
      </c>
      <c r="O5" s="423" t="s">
        <v>76</v>
      </c>
      <c r="P5" s="173">
        <f>IF(O5="El riesgo afecta la imagen de algún área de la organización",20%,IF(O5="El riesgo afecta la imagen de la entidad internamente, de conocimiento general nivel interno, de junta directiva y accionistas y/o de proveedores",40%,IF(O5="El riesgo afecta la imagen de la entidad con algunos usuarios de relevancia frente al logro de los objetivos",60%,IF(O5="El riesgo afecta la imagen de la entidad con efecto publicitario sostenido a nivel de sector administrativo, nivel departamental o municipal",80%,IF(O5="El riesgo afecta la imagen de la entidad a nivel nacional, con efecto publicitario sostenido a nivel país",100%,IF(O5="NA",0%,""))))))</f>
        <v>0.8</v>
      </c>
      <c r="Q5" s="211" t="s">
        <v>73</v>
      </c>
      <c r="R5" s="173">
        <f>IF(Q5="Interrupción de la operación por menos de un día",20%,IF(Q5="Interrupción de la operación por un día completo",40%,IF(Q5="Interrupción de la operación mayor a 1 día y menor a 2 días",60%,IF(Q5="Interrupción de la operación por dos días completos",80%,IF(Q5="Interrupción de la operación por más de dos días",100%,IF(Q5="NA",0%,""))))))</f>
        <v>0</v>
      </c>
      <c r="S5" s="215" t="s">
        <v>60</v>
      </c>
      <c r="T5" s="215" t="s">
        <v>73</v>
      </c>
      <c r="U5" s="173">
        <f>+MAX(N5,P5,R5)</f>
        <v>0.8</v>
      </c>
      <c r="V5" s="349" t="str">
        <f>IF(L5&lt;=20%,"Muy baja",IF(L5&lt;=40%,"Baja",IF(L5&lt;=60%,"Media",IF(L5&lt;=80%,"Alta",IF(L5&lt;=100%,"Muy alta",IF(L5&gt;=100%,"Muy alta",""))))))</f>
        <v>Media</v>
      </c>
      <c r="W5" s="173">
        <f>+IFERROR(VLOOKUP(V5,formulas!$F$1:$G$6,2,FALSE),"")</f>
        <v>0.6</v>
      </c>
      <c r="X5" s="351" t="str">
        <f>IF(U5=20%,"Leve",IF(U5=40%,"Menor",IF(U5=60%,"Moderado",IF(U5=80%,"Mayor",IF(U5=100%,"Catastrófico","")))))</f>
        <v>Mayor</v>
      </c>
      <c r="Y5" s="173">
        <f>+IFERROR(VLOOKUP(X5,formulas!$H$1:$I$6,2,FALSE),"")</f>
        <v>0.8</v>
      </c>
      <c r="Z5" s="351" t="str">
        <f>+IFERROR(VLOOKUP(V5&amp;X5,formulas!$C$2:$D$26,2,FALSE),"")</f>
        <v>Alto</v>
      </c>
      <c r="AA5" s="173">
        <f>IF(Z5="Bajo",25%,IF(Z5="Moderado",50%,IF(Z5="Alto",75%,IF(Z5="Extremo",100%,""))))</f>
        <v>0.75</v>
      </c>
      <c r="AB5" s="367"/>
      <c r="AC5" s="606" t="s">
        <v>545</v>
      </c>
      <c r="AD5" s="211" t="s">
        <v>57</v>
      </c>
      <c r="AE5" s="173">
        <f>IF(AD5="Preventivo",25%,IF(AD5="Detectivo",15%,IF(AD5="Correctivo",10%,"")))</f>
        <v>0.25</v>
      </c>
      <c r="AF5" s="211" t="s">
        <v>229</v>
      </c>
      <c r="AG5" s="173">
        <f>IF(AF5="Manual",15%,IF(AF5="Automático",25%,""))</f>
        <v>0.15</v>
      </c>
      <c r="AH5" s="173">
        <f>+AG5+AE5</f>
        <v>0.4</v>
      </c>
      <c r="AI5" s="211" t="s">
        <v>230</v>
      </c>
      <c r="AJ5" s="175" t="s">
        <v>24</v>
      </c>
      <c r="AK5" s="211" t="s">
        <v>546</v>
      </c>
      <c r="AL5" s="205">
        <f>+AA5*AH5</f>
        <v>0.30000000000000004</v>
      </c>
      <c r="AM5" s="205">
        <f>+AA5-AL5</f>
        <v>0.44999999999999996</v>
      </c>
      <c r="AN5" s="351" t="str">
        <f>+IF(C5="Corrupción","Moderado",IF(AM5&lt;=25%,"Bajo",IF(AM5&lt;=50%,"Moderado",IF(AM5&lt;=75%,"Alto",IF(AM5&gt;75%,"Extremo","")))))</f>
        <v>Moderado</v>
      </c>
      <c r="AO5" s="174" t="s">
        <v>59</v>
      </c>
      <c r="AP5" s="401"/>
      <c r="AQ5" s="401"/>
      <c r="AR5" s="614"/>
      <c r="AS5" s="401"/>
      <c r="AT5" s="401"/>
      <c r="AU5" s="401"/>
      <c r="AV5" s="401"/>
      <c r="AW5" s="401"/>
      <c r="AX5" s="401"/>
      <c r="AY5" s="401"/>
      <c r="AZ5" s="401"/>
      <c r="BA5" s="401"/>
      <c r="BB5" s="401"/>
      <c r="BC5" s="401"/>
      <c r="BD5" s="401"/>
      <c r="BE5" s="401"/>
      <c r="BF5" s="401"/>
      <c r="BG5" s="401"/>
    </row>
    <row r="6" spans="1:59" ht="223.5" customHeight="1" thickBot="1">
      <c r="A6" s="174" t="s">
        <v>231</v>
      </c>
      <c r="B6" s="175" t="s">
        <v>29</v>
      </c>
      <c r="C6" s="175" t="s">
        <v>92</v>
      </c>
      <c r="D6" s="175" t="s">
        <v>79</v>
      </c>
      <c r="E6" s="175" t="s">
        <v>36</v>
      </c>
      <c r="F6" s="175" t="s">
        <v>547</v>
      </c>
      <c r="G6" s="175" t="s">
        <v>548</v>
      </c>
      <c r="H6" s="742" t="s">
        <v>549</v>
      </c>
      <c r="I6" s="175" t="s">
        <v>550</v>
      </c>
      <c r="J6" s="175" t="s">
        <v>66</v>
      </c>
      <c r="K6" s="175">
        <v>1</v>
      </c>
      <c r="L6" s="173">
        <f>IF(J6="Diaria",+(K6/360),IF(J6="Semanal",+(K6/52),IF(J6="Mensual",+(K6/12),IF(J6="Bimestral",+(K6/6),IF(J6="Trimestral",+(K6/4),IF(J6="Semestral",+(K6/2),IF(J6="Anual",+(K6/1),"")))))))</f>
        <v>8.3333333333333329E-2</v>
      </c>
      <c r="M6" s="175" t="s">
        <v>73</v>
      </c>
      <c r="N6" s="173">
        <f>IF(M6="Menor al 1% del patrimonio de la Lotería de Bogotá",20%,IF(M6="Entre el 1% y el 3% del patrimonio de la Lotería de Bogotá",40%,IF(M6="Entre el 3% y el 6% del patrimonio de la Lotería de Bogotá",60%,IF(M6="Entre el 6% y el 10% del patrimonio de la Lotería de Bogotá",80%,IF(M6="Mayor al 10% del patrimonio de la Lotería de Bogotá",100%,IF(M6="NA",0%,""))))))</f>
        <v>0</v>
      </c>
      <c r="O6" s="423" t="s">
        <v>31</v>
      </c>
      <c r="P6" s="173">
        <f>IF(O6="El riesgo afecta la imagen de algún área de la organización",20%,IF(O6="El riesgo afecta la imagen de la entidad internamente, de conocimiento general nivel interno, de junta directiva y accionistas y/o de proveedores",40%,IF(O6="El riesgo afecta la imagen de la entidad con algunos usuarios de relevancia frente al logro de los objetivos",60%,IF(O6="El riesgo afecta la imagen de la entidad con efecto publicitario sostenido a nivel de sector administrativo, nivel departamental o municipal",80%,IF(O6="El riesgo afecta la imagen de la entidad a nivel nacional, con efecto publicitario sostenido a nivel país",100%,IF(O6="NA",0%,""))))))</f>
        <v>0.2</v>
      </c>
      <c r="Q6" s="175" t="s">
        <v>73</v>
      </c>
      <c r="R6" s="173">
        <f>IF(Q6="Interrupción de la operación por menos de un día",20%,IF(Q6="Interrupción de la operación por un día completo",40%,IF(Q6="Interrupción de la operación mayor a 1 día y menor a 2 días",60%,IF(Q6="Interrupción de la operación por dos días completos",80%,IF(Q6="Interrupción de la operación por más de dos días",100%,IF(Q6="NA",0%,""))))))</f>
        <v>0</v>
      </c>
      <c r="S6" s="174" t="s">
        <v>60</v>
      </c>
      <c r="T6" s="174" t="s">
        <v>45</v>
      </c>
      <c r="U6" s="173">
        <f>+MAX(N6,P6,R6)</f>
        <v>0.2</v>
      </c>
      <c r="V6" s="349" t="str">
        <f>IF(L6&lt;=20%,"Muy baja",IF(L6&lt;=40%,"Baja",IF(L6&lt;=60%,"Media",IF(L6&lt;=80%,"Alta",IF(L6&lt;=100%,"Muy alta",IF(L6&gt;=100%,"Muy alta",""))))))</f>
        <v>Muy baja</v>
      </c>
      <c r="W6" s="173">
        <f>+IFERROR(VLOOKUP(V6,formulas!$F$1:$G$6,2,FALSE),"")</f>
        <v>0.2</v>
      </c>
      <c r="X6" s="351" t="str">
        <f>IF(U6=20%,"Leve",IF(U6=40%,"Menor",IF(U6=60%,"Moderado",IF(U6=80%,"Mayor",IF(U6=100%,"Catastrófico","")))))</f>
        <v>Leve</v>
      </c>
      <c r="Y6" s="173">
        <f>+IFERROR(VLOOKUP(X6,formulas!$H$1:$I$6,2,FALSE),"")</f>
        <v>0.2</v>
      </c>
      <c r="Z6" s="351" t="str">
        <f>+IFERROR(VLOOKUP(V6&amp;X6,formulas!$C$2:$D$26,2,FALSE),"")</f>
        <v>Bajo</v>
      </c>
      <c r="AA6" s="173">
        <f>IF(Z6="Bajo",25%,IF(Z6="Moderado",50%,IF(Z6="Alto",75%,IF(Z6="Extremo",100%,""))))</f>
        <v>0.25</v>
      </c>
      <c r="AB6" s="204" t="s">
        <v>551</v>
      </c>
      <c r="AC6" s="742" t="s">
        <v>552</v>
      </c>
      <c r="AD6" s="175" t="s">
        <v>57</v>
      </c>
      <c r="AE6" s="173">
        <f>IF(AD6="Preventivo",25%,IF(AD6="Detectivo",15%,IF(AD6="Correctivo",10%,"")))</f>
        <v>0.25</v>
      </c>
      <c r="AF6" s="175" t="s">
        <v>553</v>
      </c>
      <c r="AG6" s="173">
        <f>IF(AF6="Manual",15%,IF(AF6="Automático",25%,""))</f>
        <v>0.25</v>
      </c>
      <c r="AH6" s="173">
        <f>+AG6+AE6</f>
        <v>0.5</v>
      </c>
      <c r="AI6" s="401"/>
      <c r="AJ6" s="175" t="s">
        <v>24</v>
      </c>
      <c r="AK6" s="175" t="s">
        <v>554</v>
      </c>
      <c r="AL6" s="205">
        <f>+AA6*AH6</f>
        <v>0.125</v>
      </c>
      <c r="AM6" s="205">
        <f>+AA6-AL6</f>
        <v>0.125</v>
      </c>
      <c r="AN6" s="351" t="str">
        <f>+IF(C6="Corrupción","Moderado",IF(AM6&lt;=25%,"Bajo",IF(AM6&lt;=50%,"Moderado",IF(AM6&lt;=75%,"Alto",IF(AM6&gt;75%,"Extremo","")))))</f>
        <v>Bajo</v>
      </c>
      <c r="AO6" s="174" t="s">
        <v>59</v>
      </c>
      <c r="AP6" s="401"/>
      <c r="AQ6" s="401"/>
      <c r="AR6" s="614"/>
      <c r="AS6" s="401"/>
      <c r="AT6" s="401"/>
      <c r="AU6" s="401"/>
      <c r="AV6" s="401"/>
      <c r="AW6" s="401"/>
      <c r="AX6" s="401"/>
      <c r="AY6" s="401"/>
      <c r="AZ6" s="401"/>
      <c r="BA6" s="401"/>
      <c r="BB6" s="401"/>
      <c r="BC6" s="401"/>
      <c r="BD6" s="401"/>
      <c r="BE6" s="401"/>
      <c r="BF6" s="401"/>
      <c r="BG6" s="401"/>
    </row>
  </sheetData>
  <mergeCells count="21">
    <mergeCell ref="BA2:BE2"/>
    <mergeCell ref="AP1:AU1"/>
    <mergeCell ref="AV1:BE1"/>
    <mergeCell ref="AC2:AC3"/>
    <mergeCell ref="AD2:AG2"/>
    <mergeCell ref="AH2:AH3"/>
    <mergeCell ref="AI2:AK2"/>
    <mergeCell ref="AR2:AR3"/>
    <mergeCell ref="AS2:AS3"/>
    <mergeCell ref="AM1:AO1"/>
    <mergeCell ref="AV2:AZ2"/>
    <mergeCell ref="AU2:AU3"/>
    <mergeCell ref="AT2:AT3"/>
    <mergeCell ref="G3:H3"/>
    <mergeCell ref="AJ3:AK3"/>
    <mergeCell ref="AL2:AN3"/>
    <mergeCell ref="AO2:AO3"/>
    <mergeCell ref="AP2:AQ3"/>
    <mergeCell ref="A1:T2"/>
    <mergeCell ref="U1:AB2"/>
    <mergeCell ref="AC1:AK1"/>
  </mergeCells>
  <conditionalFormatting sqref="V4:V6">
    <cfRule type="expression" dxfId="14" priority="22" stopIfTrue="1">
      <formula>NOT(ISERROR(SEARCH("Muy alta",V4)))</formula>
    </cfRule>
    <cfRule type="expression" dxfId="13" priority="23" stopIfTrue="1">
      <formula>NOT(ISERROR(SEARCH("Alta",V4)))</formula>
    </cfRule>
    <cfRule type="expression" dxfId="12" priority="24" stopIfTrue="1">
      <formula>NOT(ISERROR(SEARCH("Media",V4)))</formula>
    </cfRule>
  </conditionalFormatting>
  <conditionalFormatting sqref="X4:X6">
    <cfRule type="containsText" dxfId="11" priority="9" operator="containsText" text="Catastrófico">
      <formula>NOT(ISERROR(SEARCH("Catastrófico",X4)))</formula>
    </cfRule>
    <cfRule type="containsText" dxfId="10" priority="10" operator="containsText" text="Mayor">
      <formula>NOT(ISERROR(SEARCH("Mayor",X4)))</formula>
    </cfRule>
    <cfRule type="containsText" dxfId="9" priority="11" operator="containsText" text="Moderado">
      <formula>NOT(ISERROR(SEARCH("Moderado",X4)))</formula>
    </cfRule>
    <cfRule type="containsText" dxfId="8" priority="12" operator="containsText" text="Menor">
      <formula>NOT(ISERROR(SEARCH("Menor",X4)))</formula>
    </cfRule>
    <cfRule type="containsText" dxfId="7" priority="13" operator="containsText" text="Leve">
      <formula>NOT(ISERROR(SEARCH("Leve",X4)))</formula>
    </cfRule>
  </conditionalFormatting>
  <conditionalFormatting sqref="Z4:Z6">
    <cfRule type="containsText" dxfId="6" priority="5" operator="containsText" text="Alto">
      <formula>NOT(ISERROR(SEARCH("Alto",Z4)))</formula>
    </cfRule>
    <cfRule type="containsText" dxfId="5" priority="6" operator="containsText" text="Moderado">
      <formula>NOT(ISERROR(SEARCH("Moderado",Z4)))</formula>
    </cfRule>
    <cfRule type="containsText" dxfId="4" priority="7" operator="containsText" text="Extremo">
      <formula>NOT(ISERROR(SEARCH("Extremo",Z4)))</formula>
    </cfRule>
    <cfRule type="containsText" dxfId="3" priority="8" operator="containsText" text="Bajo">
      <formula>NOT(ISERROR(SEARCH("Bajo",Z4)))</formula>
    </cfRule>
  </conditionalFormatting>
  <conditionalFormatting sqref="AI4:AI5">
    <cfRule type="containsText" dxfId="2" priority="19" operator="containsText" text="BAJA">
      <formula>NOT(ISERROR(SEARCH("BAJA",AI4)))</formula>
    </cfRule>
    <cfRule type="containsText" dxfId="1" priority="20" operator="containsText" text="MEDIA">
      <formula>NOT(ISERROR(SEARCH("MEDIA",AI4)))</formula>
    </cfRule>
    <cfRule type="containsText" dxfId="0" priority="21" operator="containsText" text="ALTA">
      <formula>NOT(ISERROR(SEARCH("ALTA",AI4)))</formula>
    </cfRule>
  </conditionalFormatting>
  <dataValidations count="3">
    <dataValidation type="list" allowBlank="1" showInputMessage="1" showErrorMessage="1" sqref="A4:A6">
      <formula1>"SI,NO"</formula1>
    </dataValidation>
    <dataValidation type="list" allowBlank="1" showInputMessage="1" showErrorMessage="1" sqref="AF4:AF6">
      <formula1>"Manual,Automático"</formula1>
    </dataValidation>
    <dataValidation type="list" allowBlank="1" showInputMessage="1" showErrorMessage="1" sqref="AI4:AI6">
      <formula1>"Confiable,No confiable"</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29"/>
  <sheetViews>
    <sheetView topLeftCell="A90" zoomScale="77" zoomScaleNormal="77" workbookViewId="0">
      <selection activeCell="P106" sqref="P106"/>
    </sheetView>
  </sheetViews>
  <sheetFormatPr baseColWidth="10" defaultColWidth="11.42578125" defaultRowHeight="15"/>
  <cols>
    <col min="1" max="1" width="3.7109375" customWidth="1"/>
    <col min="8" max="8" width="9.7109375" customWidth="1"/>
    <col min="26" max="26" width="22.85546875" customWidth="1"/>
    <col min="27" max="27" width="15" bestFit="1" customWidth="1"/>
    <col min="41" max="41" width="2.7109375" customWidth="1"/>
  </cols>
  <sheetData>
    <row r="1" spans="2:50">
      <c r="B1" t="s">
        <v>127</v>
      </c>
    </row>
    <row r="3" spans="2:50">
      <c r="B3" s="1" t="s">
        <v>128</v>
      </c>
      <c r="R3" s="1" t="s">
        <v>129</v>
      </c>
    </row>
    <row r="4" spans="2:50">
      <c r="R4" s="1" t="s">
        <v>130</v>
      </c>
      <c r="AG4" s="1" t="s">
        <v>131</v>
      </c>
    </row>
    <row r="5" spans="2:50">
      <c r="B5" s="1" t="s">
        <v>132</v>
      </c>
      <c r="J5" s="1" t="s">
        <v>133</v>
      </c>
      <c r="R5" s="1" t="s">
        <v>134</v>
      </c>
      <c r="Y5" s="1" t="s">
        <v>135</v>
      </c>
      <c r="AG5" s="1" t="s">
        <v>136</v>
      </c>
      <c r="AP5" s="1" t="s">
        <v>137</v>
      </c>
      <c r="AX5" s="1" t="s">
        <v>138</v>
      </c>
    </row>
    <row r="23" spans="25:27">
      <c r="Y23" t="s">
        <v>139</v>
      </c>
    </row>
    <row r="24" spans="25:27">
      <c r="Z24" s="2" t="s">
        <v>140</v>
      </c>
      <c r="AA24" s="3"/>
    </row>
    <row r="25" spans="25:27" ht="45">
      <c r="Y25" s="4" t="s">
        <v>141</v>
      </c>
      <c r="Z25" s="5">
        <v>42299590289</v>
      </c>
      <c r="AA25" s="6"/>
    </row>
    <row r="26" spans="25:27">
      <c r="Y26" s="7">
        <v>0.01</v>
      </c>
      <c r="Z26" s="8">
        <f>+$Z$25*Y26</f>
        <v>422995902.88999999</v>
      </c>
      <c r="AA26" s="9"/>
    </row>
    <row r="27" spans="25:27">
      <c r="Y27" s="7">
        <v>0.03</v>
      </c>
      <c r="Z27" s="8">
        <f>+$Z$25*Y27</f>
        <v>1268987708.6699998</v>
      </c>
      <c r="AA27" s="9"/>
    </row>
    <row r="28" spans="25:27">
      <c r="Y28" s="7">
        <v>0.06</v>
      </c>
      <c r="Z28" s="8">
        <f>+$Z$25*Y28</f>
        <v>2537975417.3399997</v>
      </c>
      <c r="AA28" s="9"/>
    </row>
    <row r="29" spans="25:27">
      <c r="Y29" s="7">
        <v>0.1</v>
      </c>
      <c r="Z29" s="8">
        <f>+$Z$25*Y29</f>
        <v>4229959028.9000001</v>
      </c>
      <c r="AA29" s="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3"/>
  <sheetViews>
    <sheetView topLeftCell="A4" workbookViewId="0">
      <selection activeCell="I12" sqref="I12"/>
    </sheetView>
  </sheetViews>
  <sheetFormatPr baseColWidth="10" defaultColWidth="9.140625" defaultRowHeight="15"/>
  <cols>
    <col min="1" max="1" width="2.85546875" customWidth="1"/>
    <col min="2" max="2" width="29.7109375" style="26" customWidth="1"/>
    <col min="3" max="3" width="18.7109375" style="27" customWidth="1"/>
    <col min="4" max="4" width="11.42578125" style="28" customWidth="1"/>
    <col min="5" max="5" width="26.7109375" style="27" customWidth="1"/>
    <col min="6" max="7" width="11.42578125" customWidth="1"/>
    <col min="8" max="8" width="21.42578125" customWidth="1"/>
    <col min="9" max="9" width="11.42578125" customWidth="1"/>
    <col min="10" max="10" width="26" customWidth="1"/>
    <col min="11" max="256" width="11.42578125" customWidth="1"/>
  </cols>
  <sheetData>
    <row r="1" spans="2:9" ht="15.75" thickBot="1"/>
    <row r="2" spans="2:9" ht="31.9" customHeight="1">
      <c r="B2" s="790" t="s">
        <v>142</v>
      </c>
      <c r="C2" s="791"/>
      <c r="D2" s="791"/>
      <c r="E2" s="792"/>
      <c r="H2" s="782" t="s">
        <v>143</v>
      </c>
      <c r="I2" s="783"/>
    </row>
    <row r="3" spans="2:9" ht="15" customHeight="1">
      <c r="B3" s="20" t="s">
        <v>144</v>
      </c>
      <c r="C3" s="21" t="s">
        <v>6</v>
      </c>
      <c r="D3" s="21" t="s">
        <v>145</v>
      </c>
      <c r="E3" s="22" t="s">
        <v>146</v>
      </c>
      <c r="H3" s="20" t="s">
        <v>6</v>
      </c>
      <c r="I3" s="22" t="s">
        <v>147</v>
      </c>
    </row>
    <row r="4" spans="2:9">
      <c r="B4" s="784" t="s">
        <v>111</v>
      </c>
      <c r="C4" s="708" t="s">
        <v>70</v>
      </c>
      <c r="D4" s="23">
        <v>4</v>
      </c>
      <c r="E4" s="785" t="s">
        <v>148</v>
      </c>
      <c r="H4" s="29" t="s">
        <v>23</v>
      </c>
      <c r="I4" s="30">
        <f>+D33</f>
        <v>1</v>
      </c>
    </row>
    <row r="5" spans="2:9">
      <c r="B5" s="784"/>
      <c r="C5" s="708" t="s">
        <v>12</v>
      </c>
      <c r="D5" s="23">
        <v>1</v>
      </c>
      <c r="E5" s="785"/>
      <c r="H5" s="29" t="s">
        <v>12</v>
      </c>
      <c r="I5" s="30">
        <v>1</v>
      </c>
    </row>
    <row r="6" spans="2:9">
      <c r="B6" s="784"/>
      <c r="C6" s="708" t="s">
        <v>92</v>
      </c>
      <c r="D6" s="23">
        <v>2</v>
      </c>
      <c r="E6" s="785"/>
      <c r="H6" s="29" t="s">
        <v>70</v>
      </c>
      <c r="I6" s="30">
        <f>+D4</f>
        <v>4</v>
      </c>
    </row>
    <row r="7" spans="2:9">
      <c r="B7" s="784" t="s">
        <v>98</v>
      </c>
      <c r="C7" s="708" t="s">
        <v>92</v>
      </c>
      <c r="D7" s="23">
        <v>3</v>
      </c>
      <c r="E7" s="785" t="s">
        <v>149</v>
      </c>
      <c r="F7" s="31">
        <v>-1</v>
      </c>
      <c r="H7" s="29" t="s">
        <v>150</v>
      </c>
      <c r="I7" s="30">
        <f>+D29</f>
        <v>2</v>
      </c>
    </row>
    <row r="8" spans="2:9" ht="30">
      <c r="B8" s="784"/>
      <c r="C8" s="559" t="s">
        <v>151</v>
      </c>
      <c r="D8" s="560">
        <v>0</v>
      </c>
      <c r="E8" s="785"/>
      <c r="F8" s="551"/>
      <c r="H8" s="29" t="s">
        <v>152</v>
      </c>
      <c r="I8" s="30">
        <v>19</v>
      </c>
    </row>
    <row r="9" spans="2:9">
      <c r="B9" s="784" t="s">
        <v>153</v>
      </c>
      <c r="C9" s="708" t="s">
        <v>58</v>
      </c>
      <c r="D9" s="23">
        <v>2</v>
      </c>
      <c r="E9" s="785" t="s">
        <v>154</v>
      </c>
      <c r="F9" s="32"/>
      <c r="H9" s="29" t="s">
        <v>92</v>
      </c>
      <c r="I9" s="30">
        <v>38</v>
      </c>
    </row>
    <row r="10" spans="2:9" ht="41.25" customHeight="1">
      <c r="B10" s="784"/>
      <c r="C10" s="708" t="s">
        <v>92</v>
      </c>
      <c r="D10" s="23">
        <v>4</v>
      </c>
      <c r="E10" s="785"/>
      <c r="F10" s="31">
        <v>-1</v>
      </c>
      <c r="H10" s="29" t="s">
        <v>155</v>
      </c>
      <c r="I10" s="30">
        <v>1</v>
      </c>
    </row>
    <row r="11" spans="2:9" ht="41.25" customHeight="1">
      <c r="B11" s="784"/>
      <c r="C11" s="708" t="s">
        <v>152</v>
      </c>
      <c r="D11" s="23">
        <v>1</v>
      </c>
      <c r="E11" s="785"/>
      <c r="F11" s="31"/>
      <c r="H11" s="29" t="s">
        <v>109</v>
      </c>
      <c r="I11" s="30">
        <v>14</v>
      </c>
    </row>
    <row r="12" spans="2:9" ht="30">
      <c r="B12" s="784"/>
      <c r="C12" s="550" t="s">
        <v>151</v>
      </c>
      <c r="D12" s="23">
        <v>2</v>
      </c>
      <c r="E12" s="785"/>
      <c r="F12" s="551"/>
      <c r="H12" s="29" t="s">
        <v>58</v>
      </c>
      <c r="I12" s="30">
        <v>15</v>
      </c>
    </row>
    <row r="13" spans="2:9" ht="21" customHeight="1" thickBot="1">
      <c r="B13" s="784" t="s">
        <v>156</v>
      </c>
      <c r="C13" s="708" t="s">
        <v>58</v>
      </c>
      <c r="D13" s="23">
        <v>1</v>
      </c>
      <c r="E13" s="785" t="s">
        <v>157</v>
      </c>
      <c r="F13" s="31"/>
      <c r="H13" s="33" t="s">
        <v>158</v>
      </c>
      <c r="I13" s="34">
        <f>+SUM(I4:I12)</f>
        <v>95</v>
      </c>
    </row>
    <row r="14" spans="2:9">
      <c r="B14" s="784"/>
      <c r="C14" s="708" t="s">
        <v>92</v>
      </c>
      <c r="D14" s="23">
        <v>2</v>
      </c>
      <c r="E14" s="785"/>
      <c r="F14" s="31"/>
    </row>
    <row r="15" spans="2:9">
      <c r="B15" s="784"/>
      <c r="C15" s="708" t="s">
        <v>152</v>
      </c>
      <c r="D15" s="23">
        <v>3</v>
      </c>
      <c r="E15" s="785"/>
      <c r="F15" s="31"/>
    </row>
    <row r="16" spans="2:9" ht="30">
      <c r="B16" s="784"/>
      <c r="C16" s="550" t="s">
        <v>151</v>
      </c>
      <c r="D16" s="23">
        <v>1</v>
      </c>
      <c r="E16" s="785"/>
      <c r="F16" s="551"/>
    </row>
    <row r="17" spans="2:6" ht="42.75" customHeight="1">
      <c r="B17" s="784" t="s">
        <v>159</v>
      </c>
      <c r="C17" s="708" t="s">
        <v>58</v>
      </c>
      <c r="D17" s="23">
        <v>1</v>
      </c>
      <c r="E17" s="785" t="s">
        <v>160</v>
      </c>
      <c r="F17" s="31"/>
    </row>
    <row r="18" spans="2:6" ht="42.75" customHeight="1">
      <c r="B18" s="784"/>
      <c r="C18" s="708" t="s">
        <v>92</v>
      </c>
      <c r="D18" s="23">
        <v>1</v>
      </c>
      <c r="E18" s="785"/>
      <c r="F18" s="31"/>
    </row>
    <row r="19" spans="2:6">
      <c r="B19" s="784"/>
      <c r="C19" s="708" t="s">
        <v>152</v>
      </c>
      <c r="D19" s="23">
        <v>3</v>
      </c>
      <c r="E19" s="785"/>
      <c r="F19" s="31">
        <v>1</v>
      </c>
    </row>
    <row r="20" spans="2:6" ht="30" customHeight="1">
      <c r="B20" s="786" t="s">
        <v>62</v>
      </c>
      <c r="C20" s="708" t="s">
        <v>152</v>
      </c>
      <c r="D20" s="23">
        <v>1</v>
      </c>
      <c r="E20" s="788" t="s">
        <v>154</v>
      </c>
      <c r="F20" s="31"/>
    </row>
    <row r="21" spans="2:6">
      <c r="B21" s="787"/>
      <c r="C21" s="708" t="s">
        <v>92</v>
      </c>
      <c r="D21" s="23">
        <v>2</v>
      </c>
      <c r="E21" s="789"/>
      <c r="F21" s="31"/>
    </row>
    <row r="22" spans="2:6" ht="30">
      <c r="B22" s="607" t="s">
        <v>29</v>
      </c>
      <c r="C22" s="708" t="s">
        <v>92</v>
      </c>
      <c r="D22" s="23">
        <v>1</v>
      </c>
      <c r="E22" s="608" t="s">
        <v>161</v>
      </c>
      <c r="F22" s="31">
        <v>-1</v>
      </c>
    </row>
    <row r="23" spans="2:6">
      <c r="B23" s="784" t="s">
        <v>162</v>
      </c>
      <c r="C23" s="708" t="s">
        <v>92</v>
      </c>
      <c r="D23" s="23">
        <v>4</v>
      </c>
      <c r="E23" s="785" t="s">
        <v>163</v>
      </c>
      <c r="F23" s="31"/>
    </row>
    <row r="24" spans="2:6">
      <c r="B24" s="784"/>
      <c r="C24" s="708" t="s">
        <v>58</v>
      </c>
      <c r="D24" s="23">
        <v>3</v>
      </c>
      <c r="E24" s="785"/>
      <c r="F24" s="31"/>
    </row>
    <row r="25" spans="2:6">
      <c r="B25" s="784"/>
      <c r="C25" s="708" t="s">
        <v>152</v>
      </c>
      <c r="D25" s="23">
        <v>5</v>
      </c>
      <c r="E25" s="785"/>
      <c r="F25" s="31"/>
    </row>
    <row r="26" spans="2:6" ht="30">
      <c r="B26" s="784"/>
      <c r="C26" s="550" t="s">
        <v>151</v>
      </c>
      <c r="D26" s="23">
        <v>3</v>
      </c>
      <c r="E26" s="785"/>
      <c r="F26" s="551"/>
    </row>
    <row r="27" spans="2:6">
      <c r="B27" s="784" t="s">
        <v>106</v>
      </c>
      <c r="C27" s="708" t="s">
        <v>58</v>
      </c>
      <c r="D27" s="23">
        <v>1</v>
      </c>
      <c r="E27" s="785" t="s">
        <v>164</v>
      </c>
      <c r="F27" s="31"/>
    </row>
    <row r="28" spans="2:6">
      <c r="B28" s="784"/>
      <c r="C28" s="708" t="s">
        <v>152</v>
      </c>
      <c r="D28" s="23">
        <v>3</v>
      </c>
      <c r="E28" s="785"/>
      <c r="F28" s="31"/>
    </row>
    <row r="29" spans="2:6">
      <c r="B29" s="784"/>
      <c r="C29" s="708" t="s">
        <v>150</v>
      </c>
      <c r="D29" s="23">
        <v>2</v>
      </c>
      <c r="E29" s="785"/>
      <c r="F29" s="31"/>
    </row>
    <row r="30" spans="2:6">
      <c r="B30" s="784"/>
      <c r="C30" s="708" t="s">
        <v>92</v>
      </c>
      <c r="D30" s="23">
        <v>1</v>
      </c>
      <c r="E30" s="785"/>
      <c r="F30" s="31"/>
    </row>
    <row r="31" spans="2:6" ht="30">
      <c r="B31" s="784"/>
      <c r="C31" s="550" t="s">
        <v>151</v>
      </c>
      <c r="D31" s="23">
        <v>1</v>
      </c>
      <c r="E31" s="785"/>
      <c r="F31" s="551"/>
    </row>
    <row r="32" spans="2:6">
      <c r="B32" s="784" t="s">
        <v>94</v>
      </c>
      <c r="C32" s="708" t="s">
        <v>58</v>
      </c>
      <c r="D32" s="23">
        <v>4</v>
      </c>
      <c r="E32" s="785" t="s">
        <v>165</v>
      </c>
      <c r="F32" s="31"/>
    </row>
    <row r="33" spans="2:6">
      <c r="B33" s="784"/>
      <c r="C33" s="708" t="s">
        <v>23</v>
      </c>
      <c r="D33" s="23">
        <v>1</v>
      </c>
      <c r="E33" s="785"/>
      <c r="F33" s="31"/>
    </row>
    <row r="34" spans="2:6">
      <c r="B34" s="784"/>
      <c r="C34" s="708" t="s">
        <v>152</v>
      </c>
      <c r="D34" s="23">
        <v>2</v>
      </c>
      <c r="E34" s="785"/>
      <c r="F34" s="31"/>
    </row>
    <row r="35" spans="2:6">
      <c r="B35" s="784"/>
      <c r="C35" s="708" t="s">
        <v>92</v>
      </c>
      <c r="D35" s="23">
        <v>1</v>
      </c>
      <c r="E35" s="785"/>
      <c r="F35" s="31"/>
    </row>
    <row r="36" spans="2:6" ht="30">
      <c r="B36" s="784"/>
      <c r="C36" s="550" t="s">
        <v>151</v>
      </c>
      <c r="D36" s="23">
        <v>1</v>
      </c>
      <c r="E36" s="785"/>
      <c r="F36" s="551"/>
    </row>
    <row r="37" spans="2:6" ht="45">
      <c r="B37" s="607" t="s">
        <v>104</v>
      </c>
      <c r="C37" s="708" t="s">
        <v>92</v>
      </c>
      <c r="D37" s="23">
        <v>3</v>
      </c>
      <c r="E37" s="608" t="s">
        <v>166</v>
      </c>
      <c r="F37" s="31">
        <v>-1</v>
      </c>
    </row>
    <row r="38" spans="2:6" ht="33" customHeight="1">
      <c r="B38" s="784" t="s">
        <v>167</v>
      </c>
      <c r="C38" s="708" t="s">
        <v>155</v>
      </c>
      <c r="D38" s="24">
        <v>1</v>
      </c>
      <c r="E38" s="785" t="s">
        <v>168</v>
      </c>
      <c r="F38" s="31"/>
    </row>
    <row r="39" spans="2:6">
      <c r="B39" s="784"/>
      <c r="C39" s="708" t="s">
        <v>92</v>
      </c>
      <c r="D39" s="24">
        <v>3</v>
      </c>
      <c r="E39" s="785"/>
      <c r="F39" s="31"/>
    </row>
    <row r="40" spans="2:6">
      <c r="B40" s="784"/>
      <c r="C40" s="708" t="s">
        <v>152</v>
      </c>
      <c r="D40" s="24">
        <v>1</v>
      </c>
      <c r="E40" s="785"/>
      <c r="F40" s="31"/>
    </row>
    <row r="41" spans="2:6" ht="30">
      <c r="B41" s="784"/>
      <c r="C41" s="550" t="s">
        <v>151</v>
      </c>
      <c r="D41" s="24">
        <v>3</v>
      </c>
      <c r="E41" s="785"/>
      <c r="F41" s="551"/>
    </row>
    <row r="42" spans="2:6">
      <c r="B42" s="784" t="s">
        <v>108</v>
      </c>
      <c r="C42" s="708" t="s">
        <v>58</v>
      </c>
      <c r="D42" s="24">
        <v>1</v>
      </c>
      <c r="E42" s="785" t="s">
        <v>169</v>
      </c>
      <c r="F42" s="31"/>
    </row>
    <row r="43" spans="2:6">
      <c r="B43" s="784"/>
      <c r="C43" s="708" t="s">
        <v>92</v>
      </c>
      <c r="D43" s="24">
        <v>4</v>
      </c>
      <c r="E43" s="785"/>
      <c r="F43" s="31"/>
    </row>
    <row r="44" spans="2:6">
      <c r="B44" s="784" t="s">
        <v>74</v>
      </c>
      <c r="C44" s="708" t="s">
        <v>92</v>
      </c>
      <c r="D44" s="24">
        <v>3</v>
      </c>
      <c r="E44" s="785" t="s">
        <v>170</v>
      </c>
      <c r="F44" s="31"/>
    </row>
    <row r="45" spans="2:6" ht="30">
      <c r="B45" s="784"/>
      <c r="C45" s="708" t="s">
        <v>155</v>
      </c>
      <c r="D45" s="24">
        <v>1</v>
      </c>
      <c r="E45" s="785"/>
      <c r="F45" s="31"/>
    </row>
    <row r="46" spans="2:6" ht="30">
      <c r="B46" s="784"/>
      <c r="C46" s="550" t="s">
        <v>151</v>
      </c>
      <c r="D46" s="24">
        <v>1</v>
      </c>
      <c r="E46" s="785"/>
      <c r="F46" s="551"/>
    </row>
    <row r="47" spans="2:6">
      <c r="B47" s="784" t="s">
        <v>46</v>
      </c>
      <c r="C47" s="708" t="s">
        <v>58</v>
      </c>
      <c r="D47" s="23">
        <v>1</v>
      </c>
      <c r="E47" s="785" t="s">
        <v>171</v>
      </c>
      <c r="F47" s="31"/>
    </row>
    <row r="48" spans="2:6" ht="30">
      <c r="B48" s="784"/>
      <c r="C48" s="550" t="s">
        <v>151</v>
      </c>
      <c r="D48" s="23">
        <v>1</v>
      </c>
      <c r="E48" s="785"/>
      <c r="F48" s="551"/>
    </row>
    <row r="49" spans="2:6">
      <c r="B49" s="784"/>
      <c r="C49" s="550" t="s">
        <v>92</v>
      </c>
      <c r="D49" s="23">
        <v>3</v>
      </c>
      <c r="E49" s="785"/>
      <c r="F49" s="31"/>
    </row>
    <row r="50" spans="2:6" ht="30">
      <c r="B50" s="609" t="s">
        <v>151</v>
      </c>
      <c r="C50" s="550" t="s">
        <v>151</v>
      </c>
      <c r="D50" s="561">
        <v>1</v>
      </c>
      <c r="E50" s="562" t="s">
        <v>172</v>
      </c>
      <c r="F50" s="549"/>
    </row>
    <row r="51" spans="2:6">
      <c r="B51" s="786" t="s">
        <v>173</v>
      </c>
      <c r="C51" s="708" t="s">
        <v>58</v>
      </c>
      <c r="D51" s="24">
        <v>1</v>
      </c>
      <c r="E51" s="796" t="s">
        <v>174</v>
      </c>
      <c r="F51" s="558"/>
    </row>
    <row r="52" spans="2:6" ht="15.75" thickBot="1">
      <c r="B52" s="795"/>
      <c r="C52" s="708" t="s">
        <v>92</v>
      </c>
      <c r="D52" s="24">
        <v>1</v>
      </c>
      <c r="E52" s="797"/>
      <c r="F52" s="558"/>
    </row>
    <row r="53" spans="2:6" ht="15.75" thickBot="1">
      <c r="B53" s="793" t="s">
        <v>158</v>
      </c>
      <c r="C53" s="794"/>
      <c r="D53" s="25">
        <f>+SUM(D4:D52)</f>
        <v>96</v>
      </c>
      <c r="E53"/>
    </row>
  </sheetData>
  <mergeCells count="31">
    <mergeCell ref="B53:C53"/>
    <mergeCell ref="B7:B8"/>
    <mergeCell ref="E7:E8"/>
    <mergeCell ref="B47:B49"/>
    <mergeCell ref="E47:E49"/>
    <mergeCell ref="B51:B52"/>
    <mergeCell ref="E51:E52"/>
    <mergeCell ref="B44:B46"/>
    <mergeCell ref="E44:E46"/>
    <mergeCell ref="B23:B26"/>
    <mergeCell ref="E23:E26"/>
    <mergeCell ref="B27:B31"/>
    <mergeCell ref="E27:E31"/>
    <mergeCell ref="B32:B36"/>
    <mergeCell ref="E32:E36"/>
    <mergeCell ref="H2:I2"/>
    <mergeCell ref="B38:B41"/>
    <mergeCell ref="E38:E41"/>
    <mergeCell ref="B42:B43"/>
    <mergeCell ref="E42:E43"/>
    <mergeCell ref="B13:B16"/>
    <mergeCell ref="E13:E16"/>
    <mergeCell ref="B17:B19"/>
    <mergeCell ref="E17:E19"/>
    <mergeCell ref="B20:B21"/>
    <mergeCell ref="B9:B12"/>
    <mergeCell ref="E9:E12"/>
    <mergeCell ref="E20:E21"/>
    <mergeCell ref="B2:E2"/>
    <mergeCell ref="B4:B6"/>
    <mergeCell ref="E4:E6"/>
  </mergeCells>
  <hyperlinks>
    <hyperlink ref="B4" location="'Planeación y D Estratégico'!A1" display="Planeación y Direccionamiento Estratégico"/>
    <hyperlink ref="B7" location="'G. Comunicaciones'!A1" display="Gestión de Comunicaciones"/>
    <hyperlink ref="B13:B14" location="'Explotación JSA Loterías'!A1" display="Explotación JSA Loterías"/>
    <hyperlink ref="B17" location="'Recaudo'!A1" display="Gestión de Recaudo"/>
    <hyperlink ref="B20" location="'Control, Ins y Fisca'!A1" display="Control, Inspección y Fiscalización"/>
    <hyperlink ref="B22" location="'Atención al cliente'!A1" display="Atención y Servicio al Cliente"/>
    <hyperlink ref="B23" location="'G TH'!A1" display="Gestión de Talento Humano"/>
    <hyperlink ref="B27" location="'G. Financiera'!A1" display="Gestión Financiera y Contable"/>
    <hyperlink ref="B32:B33" location="'Gestión ByS'!A1" display="Gestión de Bienes y Servicios"/>
    <hyperlink ref="B37" location="'G. Documental'!A1" display="Gestión Documental"/>
    <hyperlink ref="B38:B39" location="'G. TIC'!A1" display="Gestión de las Tecnologías y la Información"/>
    <hyperlink ref="B42:B43" location="'G Jurídica'!A1" display="Gestión Jurídica"/>
    <hyperlink ref="B44" location="'Evaluación Independiente G'!A1" display="Evaluación Independiente y Control a la Gestión"/>
    <hyperlink ref="B9:B10" location="'Explotación JSA AP'!A1" display="Explotación JSA Apuestas Permanentes"/>
    <hyperlink ref="B47:B48" location="'Control Disciplinario Interno'!A1" display="Control Disciplinario Interno"/>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C4" sqref="C4"/>
    </sheetView>
  </sheetViews>
  <sheetFormatPr baseColWidth="10" defaultColWidth="9.140625" defaultRowHeight="15"/>
  <cols>
    <col min="1" max="2" width="11.42578125" customWidth="1"/>
    <col min="3" max="3" width="11.42578125" style="40" customWidth="1"/>
    <col min="4" max="256" width="11.42578125" customWidth="1"/>
  </cols>
  <sheetData>
    <row r="1" spans="1:11" ht="30">
      <c r="A1" s="10" t="s">
        <v>3</v>
      </c>
      <c r="B1" s="10" t="s">
        <v>4</v>
      </c>
      <c r="C1" s="10"/>
      <c r="D1" s="10" t="s">
        <v>175</v>
      </c>
      <c r="F1" s="35" t="s">
        <v>3</v>
      </c>
      <c r="G1" s="35" t="s">
        <v>176</v>
      </c>
      <c r="H1" s="10" t="s">
        <v>4</v>
      </c>
      <c r="I1" s="35" t="s">
        <v>176</v>
      </c>
      <c r="J1" s="10" t="s">
        <v>175</v>
      </c>
      <c r="K1" s="35" t="s">
        <v>176</v>
      </c>
    </row>
    <row r="2" spans="1:11" ht="30">
      <c r="A2" s="12" t="s">
        <v>20</v>
      </c>
      <c r="B2" s="12" t="s">
        <v>21</v>
      </c>
      <c r="C2" s="12" t="str">
        <f t="shared" ref="C2:C26" si="0">+A2&amp;B2</f>
        <v>Muy bajaLeve</v>
      </c>
      <c r="D2" s="36" t="s">
        <v>177</v>
      </c>
      <c r="F2" s="37" t="s">
        <v>20</v>
      </c>
      <c r="G2" s="38">
        <v>0.2</v>
      </c>
      <c r="H2" s="37" t="s">
        <v>21</v>
      </c>
      <c r="I2" s="38">
        <v>0.2</v>
      </c>
      <c r="J2" s="37" t="s">
        <v>177</v>
      </c>
    </row>
    <row r="3" spans="1:11" ht="30">
      <c r="A3" s="12" t="s">
        <v>20</v>
      </c>
      <c r="B3" s="12" t="s">
        <v>38</v>
      </c>
      <c r="C3" s="12" t="str">
        <f t="shared" si="0"/>
        <v>Muy bajaMenor</v>
      </c>
      <c r="D3" s="36" t="s">
        <v>177</v>
      </c>
      <c r="F3" s="12" t="s">
        <v>37</v>
      </c>
      <c r="G3" s="39">
        <v>0.4</v>
      </c>
      <c r="H3" s="13" t="s">
        <v>38</v>
      </c>
      <c r="I3" s="39">
        <v>0.4</v>
      </c>
      <c r="J3" s="13" t="s">
        <v>178</v>
      </c>
    </row>
    <row r="4" spans="1:11" ht="45">
      <c r="A4" s="12" t="s">
        <v>20</v>
      </c>
      <c r="B4" s="12" t="s">
        <v>56</v>
      </c>
      <c r="C4" s="12" t="str">
        <f t="shared" si="0"/>
        <v>Muy bajaModerado</v>
      </c>
      <c r="D4" s="36" t="s">
        <v>56</v>
      </c>
      <c r="F4" s="12" t="s">
        <v>55</v>
      </c>
      <c r="G4" s="39">
        <v>0.6</v>
      </c>
      <c r="H4" s="13" t="s">
        <v>56</v>
      </c>
      <c r="I4" s="39">
        <v>0.6</v>
      </c>
      <c r="J4" s="13" t="s">
        <v>56</v>
      </c>
    </row>
    <row r="5" spans="1:11" ht="30">
      <c r="A5" s="12" t="s">
        <v>20</v>
      </c>
      <c r="B5" s="12" t="s">
        <v>69</v>
      </c>
      <c r="C5" s="12" t="str">
        <f t="shared" si="0"/>
        <v>Muy bajaMayor</v>
      </c>
      <c r="D5" s="36" t="s">
        <v>178</v>
      </c>
      <c r="F5" s="12" t="s">
        <v>68</v>
      </c>
      <c r="G5" s="38">
        <v>0.8</v>
      </c>
      <c r="H5" s="37" t="s">
        <v>69</v>
      </c>
      <c r="I5" s="38">
        <v>0.8</v>
      </c>
      <c r="J5" s="37" t="s">
        <v>177</v>
      </c>
    </row>
    <row r="6" spans="1:11" ht="45">
      <c r="A6" s="12" t="s">
        <v>20</v>
      </c>
      <c r="B6" s="12" t="s">
        <v>82</v>
      </c>
      <c r="C6" s="12" t="str">
        <f t="shared" si="0"/>
        <v>Muy bajaCatastrófico</v>
      </c>
      <c r="D6" s="36" t="s">
        <v>179</v>
      </c>
      <c r="F6" s="12" t="s">
        <v>81</v>
      </c>
      <c r="G6" s="38">
        <v>1</v>
      </c>
      <c r="H6" s="37" t="s">
        <v>82</v>
      </c>
      <c r="I6" s="38">
        <v>1</v>
      </c>
    </row>
    <row r="7" spans="1:11">
      <c r="A7" s="12" t="s">
        <v>37</v>
      </c>
      <c r="B7" s="12" t="s">
        <v>21</v>
      </c>
      <c r="C7" s="12" t="str">
        <f t="shared" si="0"/>
        <v>BajaLeve</v>
      </c>
      <c r="D7" s="36" t="s">
        <v>177</v>
      </c>
    </row>
    <row r="8" spans="1:11">
      <c r="A8" s="12" t="s">
        <v>37</v>
      </c>
      <c r="B8" s="12" t="s">
        <v>38</v>
      </c>
      <c r="C8" s="12" t="str">
        <f t="shared" si="0"/>
        <v>BajaMenor</v>
      </c>
      <c r="D8" s="36" t="s">
        <v>56</v>
      </c>
    </row>
    <row r="9" spans="1:11" ht="30">
      <c r="A9" s="12" t="s">
        <v>37</v>
      </c>
      <c r="B9" s="12" t="s">
        <v>56</v>
      </c>
      <c r="C9" s="12" t="str">
        <f t="shared" si="0"/>
        <v>BajaModerado</v>
      </c>
      <c r="D9" s="36" t="s">
        <v>56</v>
      </c>
    </row>
    <row r="10" spans="1:11">
      <c r="A10" s="12" t="s">
        <v>37</v>
      </c>
      <c r="B10" s="12" t="s">
        <v>69</v>
      </c>
      <c r="C10" s="12" t="str">
        <f t="shared" si="0"/>
        <v>BajaMayor</v>
      </c>
      <c r="D10" s="36" t="s">
        <v>178</v>
      </c>
    </row>
    <row r="11" spans="1:11" ht="30">
      <c r="A11" s="12" t="s">
        <v>37</v>
      </c>
      <c r="B11" s="12" t="s">
        <v>82</v>
      </c>
      <c r="C11" s="12" t="str">
        <f t="shared" si="0"/>
        <v>BajaCatastrófico</v>
      </c>
      <c r="D11" s="36" t="s">
        <v>179</v>
      </c>
    </row>
    <row r="12" spans="1:11">
      <c r="A12" s="12" t="s">
        <v>55</v>
      </c>
      <c r="B12" s="12" t="s">
        <v>21</v>
      </c>
      <c r="C12" s="12" t="str">
        <f t="shared" si="0"/>
        <v>MediaLeve</v>
      </c>
      <c r="D12" s="36" t="s">
        <v>56</v>
      </c>
    </row>
    <row r="13" spans="1:11" ht="30">
      <c r="A13" s="12" t="s">
        <v>55</v>
      </c>
      <c r="B13" s="12" t="s">
        <v>38</v>
      </c>
      <c r="C13" s="12" t="str">
        <f t="shared" si="0"/>
        <v>MediaMenor</v>
      </c>
      <c r="D13" s="36" t="s">
        <v>56</v>
      </c>
    </row>
    <row r="14" spans="1:11" ht="30">
      <c r="A14" s="12" t="s">
        <v>55</v>
      </c>
      <c r="B14" s="12" t="s">
        <v>56</v>
      </c>
      <c r="C14" s="12" t="str">
        <f t="shared" si="0"/>
        <v>MediaModerado</v>
      </c>
      <c r="D14" s="36" t="s">
        <v>56</v>
      </c>
    </row>
    <row r="15" spans="1:11" ht="30">
      <c r="A15" s="12" t="s">
        <v>55</v>
      </c>
      <c r="B15" s="12" t="s">
        <v>69</v>
      </c>
      <c r="C15" s="12" t="str">
        <f t="shared" si="0"/>
        <v>MediaMayor</v>
      </c>
      <c r="D15" s="36" t="s">
        <v>178</v>
      </c>
    </row>
    <row r="16" spans="1:11" ht="30">
      <c r="A16" s="12" t="s">
        <v>55</v>
      </c>
      <c r="B16" s="12" t="s">
        <v>82</v>
      </c>
      <c r="C16" s="12" t="str">
        <f t="shared" si="0"/>
        <v>MediaCatastrófico</v>
      </c>
      <c r="D16" s="36" t="s">
        <v>179</v>
      </c>
    </row>
    <row r="17" spans="1:4">
      <c r="A17" s="12" t="s">
        <v>68</v>
      </c>
      <c r="B17" s="12" t="s">
        <v>21</v>
      </c>
      <c r="C17" s="12" t="str">
        <f t="shared" si="0"/>
        <v>AltaLeve</v>
      </c>
      <c r="D17" s="36" t="s">
        <v>56</v>
      </c>
    </row>
    <row r="18" spans="1:4">
      <c r="A18" s="12" t="s">
        <v>68</v>
      </c>
      <c r="B18" s="12" t="s">
        <v>38</v>
      </c>
      <c r="C18" s="12" t="str">
        <f t="shared" si="0"/>
        <v>AltaMenor</v>
      </c>
      <c r="D18" s="36" t="s">
        <v>56</v>
      </c>
    </row>
    <row r="19" spans="1:4" ht="30">
      <c r="A19" s="12" t="s">
        <v>68</v>
      </c>
      <c r="B19" s="12" t="s">
        <v>56</v>
      </c>
      <c r="C19" s="12" t="str">
        <f t="shared" si="0"/>
        <v>AltaModerado</v>
      </c>
      <c r="D19" s="36" t="s">
        <v>178</v>
      </c>
    </row>
    <row r="20" spans="1:4">
      <c r="A20" s="12" t="s">
        <v>68</v>
      </c>
      <c r="B20" s="12" t="s">
        <v>69</v>
      </c>
      <c r="C20" s="12" t="str">
        <f t="shared" si="0"/>
        <v>AltaMayor</v>
      </c>
      <c r="D20" s="36" t="s">
        <v>178</v>
      </c>
    </row>
    <row r="21" spans="1:4" ht="30">
      <c r="A21" s="12" t="s">
        <v>68</v>
      </c>
      <c r="B21" s="12" t="s">
        <v>82</v>
      </c>
      <c r="C21" s="12" t="str">
        <f t="shared" si="0"/>
        <v>AltaCatastrófico</v>
      </c>
      <c r="D21" s="36" t="s">
        <v>179</v>
      </c>
    </row>
    <row r="22" spans="1:4" ht="30">
      <c r="A22" s="12" t="s">
        <v>81</v>
      </c>
      <c r="B22" s="12" t="s">
        <v>21</v>
      </c>
      <c r="C22" s="12" t="str">
        <f t="shared" si="0"/>
        <v>Muy altaLeve</v>
      </c>
      <c r="D22" s="36" t="s">
        <v>178</v>
      </c>
    </row>
    <row r="23" spans="1:4" ht="30">
      <c r="A23" s="12" t="s">
        <v>81</v>
      </c>
      <c r="B23" s="12" t="s">
        <v>38</v>
      </c>
      <c r="C23" s="12" t="str">
        <f t="shared" si="0"/>
        <v>Muy altaMenor</v>
      </c>
      <c r="D23" s="36" t="s">
        <v>178</v>
      </c>
    </row>
    <row r="24" spans="1:4" ht="45">
      <c r="A24" s="12" t="s">
        <v>81</v>
      </c>
      <c r="B24" s="12" t="s">
        <v>56</v>
      </c>
      <c r="C24" s="12" t="str">
        <f>+A24&amp;B24</f>
        <v>Muy altaModerado</v>
      </c>
      <c r="D24" s="36" t="s">
        <v>178</v>
      </c>
    </row>
    <row r="25" spans="1:4" ht="30">
      <c r="A25" s="12" t="s">
        <v>81</v>
      </c>
      <c r="B25" s="12" t="s">
        <v>69</v>
      </c>
      <c r="C25" s="12" t="str">
        <f t="shared" si="0"/>
        <v>Muy altaMayor</v>
      </c>
      <c r="D25" s="36" t="s">
        <v>178</v>
      </c>
    </row>
    <row r="26" spans="1:4" ht="45">
      <c r="A26" s="12" t="s">
        <v>81</v>
      </c>
      <c r="B26" s="12" t="s">
        <v>82</v>
      </c>
      <c r="C26" s="12" t="str">
        <f t="shared" si="0"/>
        <v>Muy altaCatastrófico</v>
      </c>
      <c r="D26" s="36"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31"/>
  <sheetViews>
    <sheetView topLeftCell="A10" zoomScale="71" zoomScaleNormal="71" workbookViewId="0">
      <selection activeCell="F10" sqref="F1:F65536"/>
    </sheetView>
  </sheetViews>
  <sheetFormatPr baseColWidth="10" defaultColWidth="11.42578125" defaultRowHeight="15"/>
  <cols>
    <col min="1" max="1" width="14.140625" style="67" customWidth="1"/>
    <col min="2" max="2" width="14" style="63" customWidth="1"/>
    <col min="3" max="3" width="17.28515625" style="63" customWidth="1"/>
    <col min="4" max="4" width="19.42578125" style="63" customWidth="1"/>
    <col min="5" max="5" width="19.5703125" style="63" customWidth="1"/>
    <col min="6" max="6" width="59.7109375" style="53" customWidth="1"/>
    <col min="7" max="7" width="9.7109375" style="63" customWidth="1"/>
    <col min="8" max="8" width="20" style="63" customWidth="1"/>
    <col min="9" max="9" width="44.28515625" style="63" customWidth="1"/>
    <col min="10" max="10" width="14.7109375" style="63" bestFit="1" customWidth="1"/>
    <col min="11" max="11" width="16.7109375" style="63" customWidth="1"/>
    <col min="12" max="12" width="19.28515625" style="63" customWidth="1"/>
    <col min="13" max="13" width="46.140625" style="63" customWidth="1"/>
    <col min="14" max="14" width="19.28515625" style="63" customWidth="1"/>
    <col min="15" max="15" width="45.28515625" style="63" customWidth="1"/>
    <col min="16" max="16" width="17.7109375" style="63" customWidth="1"/>
    <col min="17" max="17" width="32.42578125" style="63" customWidth="1"/>
    <col min="18" max="18" width="17.140625" style="63" customWidth="1"/>
    <col min="19" max="21" width="21.85546875" style="63" customWidth="1"/>
    <col min="22" max="22" width="15" style="63" customWidth="1"/>
    <col min="23" max="23" width="7.140625" style="239" customWidth="1"/>
    <col min="24" max="24" width="13.7109375" style="63" customWidth="1"/>
    <col min="25" max="25" width="19.5703125" style="239" customWidth="1"/>
    <col min="26" max="26" width="16.85546875" style="63" bestFit="1" customWidth="1"/>
    <col min="27" max="27" width="8.28515625" style="63" customWidth="1"/>
    <col min="28" max="28" width="28.140625" style="63" customWidth="1"/>
    <col min="29" max="29" width="28" style="63" customWidth="1"/>
    <col min="30" max="30" width="62.42578125" style="63" customWidth="1"/>
    <col min="31" max="31" width="10" style="63" bestFit="1" customWidth="1"/>
    <col min="32" max="32" width="8.42578125" style="239" customWidth="1"/>
    <col min="33" max="33" width="20.28515625" style="239" customWidth="1"/>
    <col min="34" max="34" width="9" style="239" customWidth="1"/>
    <col min="35" max="35" width="14.140625" style="239" customWidth="1"/>
    <col min="36" max="36" width="16.42578125" style="63" customWidth="1"/>
    <col min="37" max="37" width="6.7109375" style="63" customWidth="1"/>
    <col min="38" max="38" width="63.7109375" style="63" customWidth="1"/>
    <col min="39" max="39" width="14.7109375" style="63" customWidth="1"/>
    <col min="40" max="40" width="36.5703125" style="63" customWidth="1"/>
    <col min="41" max="41" width="8.85546875" style="63" customWidth="1"/>
    <col min="42" max="42" width="12.140625" style="63" customWidth="1"/>
    <col min="43" max="43" width="14.85546875" style="63" customWidth="1"/>
    <col min="44" max="44" width="9.140625" style="63" customWidth="1"/>
    <col min="45" max="45" width="33.7109375" style="63" customWidth="1"/>
    <col min="46" max="46" width="22.5703125" style="63" customWidth="1"/>
    <col min="47" max="47" width="13.7109375" style="63" customWidth="1"/>
    <col min="48" max="48" width="13.7109375" style="239" customWidth="1"/>
    <col min="49" max="49" width="13.7109375" style="63" customWidth="1"/>
    <col min="50" max="50" width="15.28515625" style="63" customWidth="1"/>
    <col min="51" max="51" width="2.28515625" style="63" customWidth="1"/>
    <col min="52" max="52" width="49.28515625" style="63" customWidth="1"/>
    <col min="53" max="53" width="17" style="67" customWidth="1"/>
    <col min="54" max="55" width="11.5703125" style="256" customWidth="1"/>
    <col min="56" max="56" width="21.85546875" style="63" customWidth="1"/>
    <col min="57" max="76" width="18.140625" style="67" customWidth="1"/>
    <col min="77" max="235" width="11.42578125" style="67"/>
    <col min="236" max="236" width="21.85546875" style="67" customWidth="1"/>
    <col min="237" max="237" width="13.85546875" style="67" customWidth="1"/>
    <col min="238" max="238" width="38.7109375" style="67" customWidth="1"/>
    <col min="239" max="239" width="3" style="67" bestFit="1" customWidth="1"/>
    <col min="240" max="240" width="32.28515625" style="67" customWidth="1"/>
    <col min="241" max="241" width="46.28515625" style="67" customWidth="1"/>
    <col min="242" max="242" width="19" style="67" customWidth="1"/>
    <col min="243" max="243" width="11.42578125" style="67" customWidth="1"/>
    <col min="244" max="244" width="17.7109375" style="67" customWidth="1"/>
    <col min="245" max="245" width="11.42578125" style="67" customWidth="1"/>
    <col min="246" max="246" width="22.28515625" style="67" customWidth="1"/>
    <col min="247" max="247" width="5.28515625" style="67" customWidth="1"/>
    <col min="248" max="248" width="36.28515625" style="67" customWidth="1"/>
    <col min="249" max="249" width="5.7109375" style="67" customWidth="1"/>
    <col min="250" max="250" width="11.42578125" style="67" customWidth="1"/>
    <col min="251" max="251" width="20.7109375" style="67" customWidth="1"/>
    <col min="252" max="252" width="4.85546875" style="67" customWidth="1"/>
    <col min="253" max="253" width="11.42578125" style="67" customWidth="1"/>
    <col min="254" max="254" width="24.7109375" style="67" customWidth="1"/>
    <col min="255" max="255" width="12.28515625" style="67" customWidth="1"/>
    <col min="256" max="16384" width="11.42578125" style="67"/>
  </cols>
  <sheetData>
    <row r="1" spans="1:256" ht="21">
      <c r="A1" s="799" t="s">
        <v>180</v>
      </c>
      <c r="B1" s="800"/>
      <c r="C1" s="800"/>
      <c r="D1" s="800"/>
      <c r="E1" s="800"/>
      <c r="F1" s="800"/>
      <c r="G1" s="800"/>
      <c r="H1" s="800"/>
      <c r="I1" s="800"/>
      <c r="J1" s="800"/>
      <c r="K1" s="800"/>
      <c r="L1" s="800"/>
      <c r="M1" s="800"/>
      <c r="N1" s="800"/>
      <c r="O1" s="800"/>
      <c r="P1" s="800"/>
      <c r="Q1" s="800"/>
      <c r="R1" s="800"/>
      <c r="S1" s="800"/>
      <c r="T1" s="800"/>
      <c r="U1" s="803" t="s">
        <v>181</v>
      </c>
      <c r="V1" s="803"/>
      <c r="W1" s="803"/>
      <c r="X1" s="803"/>
      <c r="Y1" s="803"/>
      <c r="Z1" s="803"/>
      <c r="AA1" s="803"/>
      <c r="AB1" s="803"/>
      <c r="AC1" s="805" t="s">
        <v>182</v>
      </c>
      <c r="AD1" s="805"/>
      <c r="AE1" s="805"/>
      <c r="AF1" s="805"/>
      <c r="AG1" s="805"/>
      <c r="AH1" s="805"/>
      <c r="AI1" s="805"/>
      <c r="AJ1" s="805"/>
      <c r="AK1" s="805"/>
      <c r="AL1" s="805"/>
      <c r="AM1" s="805"/>
      <c r="AN1" s="805"/>
      <c r="AO1" s="805"/>
      <c r="AP1" s="805"/>
      <c r="AQ1" s="805"/>
      <c r="AR1" s="805"/>
      <c r="AS1" s="805"/>
      <c r="AT1" s="805"/>
      <c r="AU1" s="41"/>
      <c r="AV1" s="806" t="s">
        <v>183</v>
      </c>
      <c r="AW1" s="806"/>
      <c r="AX1" s="807"/>
      <c r="AY1" s="808"/>
      <c r="AZ1" s="809"/>
      <c r="BA1" s="809"/>
      <c r="BB1" s="809"/>
      <c r="BC1" s="809"/>
      <c r="BD1" s="809"/>
      <c r="BE1" s="861" t="s">
        <v>184</v>
      </c>
      <c r="BF1" s="862"/>
      <c r="BG1" s="862"/>
      <c r="BH1" s="862"/>
      <c r="BI1" s="862"/>
      <c r="BJ1" s="862"/>
      <c r="BK1" s="862"/>
      <c r="BL1" s="862"/>
      <c r="BM1" s="862"/>
      <c r="BN1" s="862"/>
      <c r="BO1" s="862"/>
      <c r="BP1" s="862"/>
      <c r="BQ1" s="862"/>
      <c r="BR1" s="862"/>
      <c r="BS1" s="862"/>
      <c r="BT1" s="862"/>
      <c r="BU1" s="862"/>
      <c r="BV1" s="862"/>
      <c r="BW1" s="862"/>
      <c r="BX1" s="862"/>
    </row>
    <row r="2" spans="1:256" ht="18.75">
      <c r="A2" s="801"/>
      <c r="B2" s="802"/>
      <c r="C2" s="802"/>
      <c r="D2" s="802"/>
      <c r="E2" s="802"/>
      <c r="F2" s="802"/>
      <c r="G2" s="802"/>
      <c r="H2" s="802"/>
      <c r="I2" s="802"/>
      <c r="J2" s="802"/>
      <c r="K2" s="802"/>
      <c r="L2" s="802"/>
      <c r="M2" s="802"/>
      <c r="N2" s="802"/>
      <c r="O2" s="802"/>
      <c r="P2" s="802"/>
      <c r="Q2" s="802"/>
      <c r="R2" s="802"/>
      <c r="S2" s="802"/>
      <c r="T2" s="802"/>
      <c r="U2" s="804"/>
      <c r="V2" s="804"/>
      <c r="W2" s="804"/>
      <c r="X2" s="804"/>
      <c r="Y2" s="804"/>
      <c r="Z2" s="804"/>
      <c r="AA2" s="804"/>
      <c r="AB2" s="804"/>
      <c r="AC2" s="810" t="s">
        <v>185</v>
      </c>
      <c r="AD2" s="810" t="s">
        <v>186</v>
      </c>
      <c r="AE2" s="810" t="s">
        <v>187</v>
      </c>
      <c r="AF2" s="810"/>
      <c r="AG2" s="810"/>
      <c r="AH2" s="810"/>
      <c r="AI2" s="810" t="s">
        <v>188</v>
      </c>
      <c r="AJ2" s="810" t="s">
        <v>189</v>
      </c>
      <c r="AK2" s="810"/>
      <c r="AL2" s="810"/>
      <c r="AM2" s="810"/>
      <c r="AN2" s="810"/>
      <c r="AO2" s="810"/>
      <c r="AP2" s="810"/>
      <c r="AQ2" s="810"/>
      <c r="AR2" s="810"/>
      <c r="AS2" s="810"/>
      <c r="AT2" s="810"/>
      <c r="AU2" s="813" t="s">
        <v>190</v>
      </c>
      <c r="AV2" s="813"/>
      <c r="AW2" s="813"/>
      <c r="AX2" s="830" t="s">
        <v>9</v>
      </c>
      <c r="AY2" s="812" t="s">
        <v>191</v>
      </c>
      <c r="AZ2" s="798"/>
      <c r="BA2" s="798" t="s">
        <v>146</v>
      </c>
      <c r="BB2" s="798" t="s">
        <v>192</v>
      </c>
      <c r="BC2" s="798" t="s">
        <v>193</v>
      </c>
      <c r="BD2" s="798" t="s">
        <v>194</v>
      </c>
      <c r="BE2" s="861" t="s">
        <v>195</v>
      </c>
      <c r="BF2" s="862"/>
      <c r="BG2" s="862"/>
      <c r="BH2" s="862"/>
      <c r="BI2" s="862"/>
      <c r="BJ2" s="863" t="s">
        <v>196</v>
      </c>
      <c r="BK2" s="864"/>
      <c r="BL2" s="864"/>
      <c r="BM2" s="864"/>
      <c r="BN2" s="864"/>
      <c r="BO2" s="863" t="s">
        <v>197</v>
      </c>
      <c r="BP2" s="864"/>
      <c r="BQ2" s="864"/>
      <c r="BR2" s="864"/>
      <c r="BS2" s="864"/>
      <c r="BT2" s="865" t="s">
        <v>198</v>
      </c>
      <c r="BU2" s="865"/>
      <c r="BV2" s="865"/>
      <c r="BW2" s="865"/>
      <c r="BX2" s="865"/>
    </row>
    <row r="3" spans="1:256" s="46" customFormat="1" ht="93.75">
      <c r="A3" s="42" t="s">
        <v>199</v>
      </c>
      <c r="B3" s="611" t="s">
        <v>144</v>
      </c>
      <c r="C3" s="611" t="s">
        <v>6</v>
      </c>
      <c r="D3" s="611" t="s">
        <v>1</v>
      </c>
      <c r="E3" s="611" t="s">
        <v>2</v>
      </c>
      <c r="F3" s="568"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810"/>
      <c r="AE3" s="610" t="s">
        <v>5</v>
      </c>
      <c r="AF3" s="45" t="s">
        <v>211</v>
      </c>
      <c r="AG3" s="610" t="s">
        <v>212</v>
      </c>
      <c r="AH3" s="610" t="s">
        <v>211</v>
      </c>
      <c r="AI3" s="810"/>
      <c r="AJ3" s="610" t="s">
        <v>213</v>
      </c>
      <c r="AK3" s="810" t="s">
        <v>214</v>
      </c>
      <c r="AL3" s="810"/>
      <c r="AM3" s="810" t="s">
        <v>7</v>
      </c>
      <c r="AN3" s="810"/>
      <c r="AO3" s="810" t="s">
        <v>8</v>
      </c>
      <c r="AP3" s="810"/>
      <c r="AQ3" s="610" t="s">
        <v>215</v>
      </c>
      <c r="AR3" s="810" t="s">
        <v>146</v>
      </c>
      <c r="AS3" s="810"/>
      <c r="AT3" s="610" t="s">
        <v>216</v>
      </c>
      <c r="AU3" s="813"/>
      <c r="AV3" s="813"/>
      <c r="AW3" s="813"/>
      <c r="AX3" s="830"/>
      <c r="AY3" s="812"/>
      <c r="AZ3" s="798"/>
      <c r="BA3" s="798"/>
      <c r="BB3" s="798"/>
      <c r="BC3" s="798"/>
      <c r="BD3" s="798"/>
      <c r="BE3" s="68" t="s">
        <v>217</v>
      </c>
      <c r="BF3" s="68" t="s">
        <v>218</v>
      </c>
      <c r="BG3" s="68" t="s">
        <v>219</v>
      </c>
      <c r="BH3" s="69" t="s">
        <v>220</v>
      </c>
      <c r="BI3" s="69" t="s">
        <v>221</v>
      </c>
      <c r="BJ3" s="70" t="s">
        <v>217</v>
      </c>
      <c r="BK3" s="70" t="s">
        <v>218</v>
      </c>
      <c r="BL3" s="70" t="s">
        <v>219</v>
      </c>
      <c r="BM3" s="71" t="s">
        <v>220</v>
      </c>
      <c r="BN3" s="71" t="s">
        <v>221</v>
      </c>
      <c r="BO3" s="70" t="s">
        <v>217</v>
      </c>
      <c r="BP3" s="70" t="s">
        <v>218</v>
      </c>
      <c r="BQ3" s="70" t="s">
        <v>219</v>
      </c>
      <c r="BR3" s="71" t="s">
        <v>220</v>
      </c>
      <c r="BS3" s="71" t="s">
        <v>221</v>
      </c>
      <c r="BT3" s="70" t="s">
        <v>217</v>
      </c>
      <c r="BU3" s="70" t="s">
        <v>218</v>
      </c>
      <c r="BV3" s="70" t="s">
        <v>219</v>
      </c>
      <c r="BW3" s="71" t="s">
        <v>220</v>
      </c>
      <c r="BX3" s="72" t="s">
        <v>221</v>
      </c>
    </row>
    <row r="4" spans="1:256" s="257" customFormat="1" ht="189.75" thickBot="1">
      <c r="A4" s="633" t="s">
        <v>51</v>
      </c>
      <c r="B4" s="334" t="s">
        <v>85</v>
      </c>
      <c r="C4" s="334" t="s">
        <v>35</v>
      </c>
      <c r="D4" s="334" t="s">
        <v>79</v>
      </c>
      <c r="E4" s="334" t="s">
        <v>80</v>
      </c>
      <c r="F4" s="578" t="s">
        <v>222</v>
      </c>
      <c r="G4" s="335" t="s">
        <v>223</v>
      </c>
      <c r="H4" s="334" t="s">
        <v>224</v>
      </c>
      <c r="I4" s="334" t="s">
        <v>225</v>
      </c>
      <c r="J4" s="334" t="s">
        <v>50</v>
      </c>
      <c r="K4" s="334">
        <v>0</v>
      </c>
      <c r="L4" s="336">
        <f>IF(J4="Diaria",+(K4/360),IF(J4="Semanal",+(K4/52),IF(J4="Mensual",+(K4/12),IF(J4="Bimestral",+(K4/6),IF(J4="Trimestral",+(K4/4),IF(J4="Semestral",+(K4/2),IF(J4="Anual",+(K4/1),"")))))))</f>
        <v>0</v>
      </c>
      <c r="M4" s="334" t="s">
        <v>30</v>
      </c>
      <c r="N4" s="643">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0.2</v>
      </c>
      <c r="O4" s="334" t="s">
        <v>76</v>
      </c>
      <c r="P4" s="643">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0.8</v>
      </c>
      <c r="Q4" s="334" t="s">
        <v>73</v>
      </c>
      <c r="R4" s="643">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633" t="s">
        <v>60</v>
      </c>
      <c r="T4" s="633" t="s">
        <v>61</v>
      </c>
      <c r="U4" s="633">
        <f>+MAX(N4,P4,R4)</f>
        <v>0.8</v>
      </c>
      <c r="V4" s="631" t="str">
        <f>IF(L4&lt;=20%,"Muy baja",IF(L4&lt;=40%,"Baja",IF(L4&lt;=60%,"Media",IF(L4&lt;=80%,"Alta",IF(L4&lt;=100%,"Muy alta",IF(L4&gt;=100%,"Muy alta",""))))))</f>
        <v>Muy baja</v>
      </c>
      <c r="W4" s="620">
        <f>+IFERROR(VLOOKUP(V5,formulas!$F$1:$G$6,2,FALSE),"")</f>
        <v>0.2</v>
      </c>
      <c r="X4" s="630" t="str">
        <f>IF(U4=20%,"Leve",IF(U4=40%,"Menor",IF(U4=60%,"Moderado",IF(U4=80%,"Mayor",IF(U4=100%,"Catastrófico","")))))</f>
        <v>Mayor</v>
      </c>
      <c r="Y4" s="620">
        <f>+IFERROR(VLOOKUP(X4,formulas!$H$1:$I$6,2,FALSE),"")</f>
        <v>0.8</v>
      </c>
      <c r="Z4" s="630" t="str">
        <f>+IFERROR(VLOOKUP(V4&amp;X4,formulas!$C$2:$D$26,2,FALSE),"")</f>
        <v>Alto</v>
      </c>
      <c r="AA4" s="644">
        <f>IF(Z4="Bajo",25%,IF(Z4="Moderado",50%,IF(Z4="Alto",75%,IF(Z4="Extremo",100%,""))))</f>
        <v>0.75</v>
      </c>
      <c r="AB4" s="643" t="s">
        <v>226</v>
      </c>
      <c r="AC4" s="334" t="s">
        <v>227</v>
      </c>
      <c r="AD4" s="334" t="s">
        <v>228</v>
      </c>
      <c r="AE4" s="334" t="s">
        <v>39</v>
      </c>
      <c r="AF4" s="643">
        <f t="shared" ref="AF4:AF10" si="0">IF(AE4="Preventivo",25%,IF(AE4="Detectivo",15%,IF(AE4="Correctivo",10%,"")))</f>
        <v>0.15</v>
      </c>
      <c r="AG4" s="334" t="s">
        <v>229</v>
      </c>
      <c r="AH4" s="643">
        <f>IF(AG4="Manual",15%,IF(AG4="Automático",25%,""))</f>
        <v>0.15</v>
      </c>
      <c r="AI4" s="643">
        <f t="shared" ref="AI4:AI10" si="1">+AH4+AF4</f>
        <v>0.3</v>
      </c>
      <c r="AJ4" s="334" t="s">
        <v>230</v>
      </c>
      <c r="AK4" s="334" t="s">
        <v>231</v>
      </c>
      <c r="AL4" s="334" t="s">
        <v>232</v>
      </c>
      <c r="AM4" s="334" t="s">
        <v>24</v>
      </c>
      <c r="AN4" s="334" t="s">
        <v>233</v>
      </c>
      <c r="AO4" s="334" t="s">
        <v>42</v>
      </c>
      <c r="AP4" s="334" t="s">
        <v>234</v>
      </c>
      <c r="AQ4" s="337" t="s">
        <v>235</v>
      </c>
      <c r="AR4" s="334" t="s">
        <v>236</v>
      </c>
      <c r="AS4" s="334" t="s">
        <v>237</v>
      </c>
      <c r="AT4" s="334" t="s">
        <v>238</v>
      </c>
      <c r="AU4" s="648">
        <f>+AA4*AI4</f>
        <v>0.22499999999999998</v>
      </c>
      <c r="AV4" s="648">
        <f>+AA4-AU4</f>
        <v>0.52500000000000002</v>
      </c>
      <c r="AW4" s="630" t="str">
        <f>+IF(C4="Corrupción","Moderado",IF(AV4&lt;=25%,"Bajo",IF(AV4&lt;=50%,"Moderado",IF(AV4&lt;=75%,"Alto",IF(AV4&gt;75%,"Extremo","")))))</f>
        <v>Alto</v>
      </c>
      <c r="AX4" s="633" t="s">
        <v>59</v>
      </c>
      <c r="AY4" s="338">
        <v>1</v>
      </c>
      <c r="AZ4" s="337" t="s">
        <v>239</v>
      </c>
      <c r="BA4" s="334" t="str">
        <f>+AS4</f>
        <v>Profesional III de apuestas</v>
      </c>
      <c r="BB4" s="339">
        <v>44562</v>
      </c>
      <c r="BC4" s="339">
        <v>44742</v>
      </c>
      <c r="BD4" s="334" t="str">
        <f>+AQ4</f>
        <v>Plataforma de Juegos Promocionales y Rifas</v>
      </c>
      <c r="BE4" s="340"/>
      <c r="BF4" s="340"/>
      <c r="BG4" s="340"/>
      <c r="BH4" s="340"/>
      <c r="BI4" s="340"/>
      <c r="BJ4" s="340"/>
      <c r="BK4" s="340"/>
      <c r="BL4" s="340"/>
      <c r="BM4" s="340"/>
      <c r="BN4" s="340"/>
      <c r="BO4" s="340"/>
      <c r="BP4" s="340"/>
      <c r="BQ4" s="340"/>
      <c r="BR4" s="340"/>
      <c r="BS4" s="340"/>
      <c r="BT4" s="340"/>
      <c r="BU4" s="340"/>
      <c r="BV4" s="340"/>
      <c r="BW4" s="340"/>
      <c r="BX4" s="340"/>
    </row>
    <row r="5" spans="1:256" ht="76.5" customHeight="1">
      <c r="A5" s="826" t="s">
        <v>231</v>
      </c>
      <c r="B5" s="814" t="s">
        <v>85</v>
      </c>
      <c r="C5" s="814" t="s">
        <v>58</v>
      </c>
      <c r="D5" s="814" t="s">
        <v>18</v>
      </c>
      <c r="E5" s="814" t="s">
        <v>67</v>
      </c>
      <c r="F5" s="828" t="s">
        <v>240</v>
      </c>
      <c r="G5" s="833" t="s">
        <v>241</v>
      </c>
      <c r="H5" s="814" t="s">
        <v>242</v>
      </c>
      <c r="I5" s="814" t="s">
        <v>243</v>
      </c>
      <c r="J5" s="814" t="s">
        <v>33</v>
      </c>
      <c r="K5" s="814">
        <v>1</v>
      </c>
      <c r="L5" s="817">
        <f t="shared" ref="L5:L30" si="2">IF(J5="Diaria",+(K5/360),IF(J5="Semanal",+(K5/52),IF(J5="Mensual",+(K5/12),IF(J5="Bimestral",+(K5/6),IF(J5="Trimestral",+(K5/4),IF(J5="Semestral",+(K5/2),IF(J5="Anual",+(K5/1),"")))))))</f>
        <v>2.7777777777777779E-3</v>
      </c>
      <c r="M5" s="814" t="s">
        <v>75</v>
      </c>
      <c r="N5" s="817">
        <f t="shared" ref="N5:N30" si="3">IF(M5="Menor al 1% del patrimonio de la Lotería de Bogotá",20%,IF(M5="Entre el 1% y el 3% del patrimonio de la Lotería de Bogotá",40%,IF(M5="Entre el 3% y el 6% del patrimonio de la Lotería de Bogotá",60%,IF(M5="Entre el 6% y el 10% del patrimonio de la Lotería de Bogotá",80%,IF(M5="Mayor al 10% del patrimonio de la Lotería de Bogotá",100%,IF(M5="NA",0%,""))))))</f>
        <v>0.8</v>
      </c>
      <c r="O5" s="814" t="s">
        <v>64</v>
      </c>
      <c r="P5" s="817">
        <f t="shared" ref="P5:P30" si="4">IF(O5="El riesgo afecta la imagen de algún área de la organización",20%,IF(O5="El riesgo afecta la imagen de la entidad internamente, de conocimiento general nivel interno, de junta directiva y accionistas y/o de proveedores",40%,IF(O5="El riesgo afecta la imagen de la entidad con algunos usuarios de relevancia frente al logro de los objetivos",60%,IF(O5="El riesgo afecta la imagen de la entidad con efecto publicitario sostenido a nivel de sector administrativo, nivel departamental o municipal",80%,IF(O5="El riesgo afecta la imagen de la entidad a nivel nacional, con efecto publicitario sostenido a nivel país",100%,IF(O5="NA",0%,""))))))</f>
        <v>0.6</v>
      </c>
      <c r="Q5" s="814" t="s">
        <v>73</v>
      </c>
      <c r="R5" s="817">
        <f t="shared" ref="R5:R30" si="5">IF(Q5="Interrupción de la operación por menos de un día",20%,IF(Q5="Interrupción de la operación por un día completo",40%,IF(Q5="Interrupción de la operación mayor a 1 día y menor a 2 días",60%,IF(Q5="Interrupción de la operación por dos días completos",80%,IF(Q5="Interrupción de la operación por más de dos días",100%,IF(Q5="NA",0%,""))))))</f>
        <v>0</v>
      </c>
      <c r="S5" s="826" t="s">
        <v>60</v>
      </c>
      <c r="T5" s="826" t="s">
        <v>61</v>
      </c>
      <c r="U5" s="826">
        <f t="shared" ref="U5:U30" si="6">+MAX(N5,P5,R5)</f>
        <v>0.8</v>
      </c>
      <c r="V5" s="846" t="str">
        <f>IF(L5&lt;=20%,"Muy baja",IF(L5&lt;=40%,"Baja",IF(L5&lt;=60%,"Media",IF(L5&lt;=80%,"Alta",IF(L5&lt;=100%,"Muy alta",IF(L5&gt;=100%,"Muy alta",""))))))</f>
        <v>Muy baja</v>
      </c>
      <c r="W5" s="823">
        <f>+IFERROR(VLOOKUP(V5,formulas!$F$1:$G$6,2,FALSE),"")</f>
        <v>0.2</v>
      </c>
      <c r="X5" s="843" t="str">
        <f>IF(U5=20%,"Leve",IF(U5=40%,"Menor",IF(U5=60%,"Moderado",IF(U5=80%,"Mayor",IF(U5=100%,"Catastrófico","")))))</f>
        <v>Mayor</v>
      </c>
      <c r="Y5" s="823">
        <f>+IFERROR(VLOOKUP(X5,formulas!$H$1:$I$6,2,FALSE),"")</f>
        <v>0.8</v>
      </c>
      <c r="Z5" s="820" t="str">
        <f>+IFERROR(VLOOKUP(V5&amp;X5,formulas!$C$2:$D$26,2,FALSE),"")</f>
        <v>Alto</v>
      </c>
      <c r="AA5" s="840">
        <f>IF(Z5="Bajo",25%,IF(Z5="Moderado",50%,IF(Z5="Alto",75%,IF(Z5="Extremo",100%,""))))</f>
        <v>0.75</v>
      </c>
      <c r="AB5" s="817" t="s">
        <v>244</v>
      </c>
      <c r="AC5" s="612" t="s">
        <v>245</v>
      </c>
      <c r="AD5" s="612" t="s">
        <v>246</v>
      </c>
      <c r="AE5" s="612" t="s">
        <v>57</v>
      </c>
      <c r="AF5" s="615">
        <f t="shared" si="0"/>
        <v>0.25</v>
      </c>
      <c r="AG5" s="612" t="s">
        <v>229</v>
      </c>
      <c r="AH5" s="615">
        <f t="shared" ref="AH5:AH10" si="7">IF(AG5="Manual",15%,IF(AG5="Automático",25%,""))</f>
        <v>0.15</v>
      </c>
      <c r="AI5" s="615">
        <f t="shared" si="1"/>
        <v>0.4</v>
      </c>
      <c r="AJ5" s="612" t="s">
        <v>230</v>
      </c>
      <c r="AK5" s="612" t="s">
        <v>231</v>
      </c>
      <c r="AL5" s="612" t="s">
        <v>247</v>
      </c>
      <c r="AM5" s="612" t="s">
        <v>24</v>
      </c>
      <c r="AN5" s="612" t="s">
        <v>248</v>
      </c>
      <c r="AO5" s="612" t="s">
        <v>25</v>
      </c>
      <c r="AP5" s="612" t="s">
        <v>89</v>
      </c>
      <c r="AQ5" s="612" t="s">
        <v>248</v>
      </c>
      <c r="AR5" s="612" t="s">
        <v>236</v>
      </c>
      <c r="AS5" s="612" t="s">
        <v>249</v>
      </c>
      <c r="AT5" s="612" t="s">
        <v>238</v>
      </c>
      <c r="AU5" s="690">
        <f>+AA5*AI5</f>
        <v>0.30000000000000004</v>
      </c>
      <c r="AV5" s="690">
        <f>+AA5-AU5</f>
        <v>0.44999999999999996</v>
      </c>
      <c r="AW5" s="820" t="str">
        <f>+IF(C7="Corrupción","Moderado",IF(AV7&lt;=25%,"Bajo",IF(AV7&lt;=50%,"Moderado",IF(AV7&lt;=75%,"Alto",IF(AV7&gt;75%,"Extremo","")))))</f>
        <v>Bajo</v>
      </c>
      <c r="AX5" s="826" t="s">
        <v>59</v>
      </c>
      <c r="AY5" s="172">
        <v>1</v>
      </c>
      <c r="AZ5" s="612" t="s">
        <v>250</v>
      </c>
      <c r="BA5" s="172" t="s">
        <v>251</v>
      </c>
      <c r="BB5" s="341">
        <v>44896</v>
      </c>
      <c r="BC5" s="341">
        <v>44926</v>
      </c>
      <c r="BD5" s="172" t="s">
        <v>252</v>
      </c>
      <c r="BE5" s="342"/>
      <c r="BF5" s="342"/>
      <c r="BG5" s="342"/>
      <c r="BH5" s="342"/>
      <c r="BI5" s="342"/>
      <c r="BJ5" s="342"/>
      <c r="BK5" s="342"/>
      <c r="BL5" s="342"/>
      <c r="BM5" s="342"/>
      <c r="BN5" s="342"/>
      <c r="BO5" s="342"/>
      <c r="BP5" s="342"/>
      <c r="BQ5" s="342"/>
      <c r="BR5" s="342"/>
      <c r="BS5" s="342"/>
      <c r="BT5" s="342"/>
      <c r="BU5" s="342"/>
      <c r="BV5" s="342"/>
      <c r="BW5" s="342"/>
      <c r="BX5" s="342"/>
    </row>
    <row r="6" spans="1:256" ht="63">
      <c r="A6" s="831"/>
      <c r="B6" s="815"/>
      <c r="C6" s="815"/>
      <c r="D6" s="815"/>
      <c r="E6" s="815"/>
      <c r="F6" s="832"/>
      <c r="G6" s="834"/>
      <c r="H6" s="815"/>
      <c r="I6" s="815"/>
      <c r="J6" s="815"/>
      <c r="K6" s="815"/>
      <c r="L6" s="818"/>
      <c r="M6" s="815"/>
      <c r="N6" s="818"/>
      <c r="O6" s="815"/>
      <c r="P6" s="818"/>
      <c r="Q6" s="815"/>
      <c r="R6" s="818"/>
      <c r="S6" s="831"/>
      <c r="T6" s="831"/>
      <c r="U6" s="831"/>
      <c r="V6" s="847"/>
      <c r="W6" s="824" t="str">
        <f>+IFERROR(VLOOKUP(V7,formulas!$F$1:$G$6,2,FALSE),"")</f>
        <v/>
      </c>
      <c r="X6" s="844"/>
      <c r="Y6" s="824"/>
      <c r="Z6" s="821"/>
      <c r="AA6" s="841"/>
      <c r="AB6" s="818"/>
      <c r="AC6" s="613" t="s">
        <v>253</v>
      </c>
      <c r="AD6" s="613" t="s">
        <v>254</v>
      </c>
      <c r="AE6" s="613" t="s">
        <v>57</v>
      </c>
      <c r="AF6" s="616">
        <f t="shared" si="0"/>
        <v>0.25</v>
      </c>
      <c r="AG6" s="613" t="s">
        <v>229</v>
      </c>
      <c r="AH6" s="616">
        <f t="shared" si="7"/>
        <v>0.15</v>
      </c>
      <c r="AI6" s="616">
        <f t="shared" si="1"/>
        <v>0.4</v>
      </c>
      <c r="AJ6" s="613" t="s">
        <v>230</v>
      </c>
      <c r="AK6" s="613" t="s">
        <v>231</v>
      </c>
      <c r="AL6" s="613" t="s">
        <v>255</v>
      </c>
      <c r="AM6" s="613" t="s">
        <v>24</v>
      </c>
      <c r="AN6" s="613" t="s">
        <v>256</v>
      </c>
      <c r="AO6" s="613" t="s">
        <v>25</v>
      </c>
      <c r="AP6" s="613" t="s">
        <v>257</v>
      </c>
      <c r="AQ6" s="613" t="s">
        <v>256</v>
      </c>
      <c r="AR6" s="613" t="s">
        <v>236</v>
      </c>
      <c r="AS6" s="613" t="s">
        <v>249</v>
      </c>
      <c r="AT6" s="613" t="s">
        <v>238</v>
      </c>
      <c r="AU6" s="647">
        <f>+AV5*AI6</f>
        <v>0.18</v>
      </c>
      <c r="AV6" s="647">
        <f>+AV5-AU6</f>
        <v>0.26999999999999996</v>
      </c>
      <c r="AW6" s="821"/>
      <c r="AX6" s="831"/>
      <c r="AY6" s="661">
        <v>2</v>
      </c>
      <c r="AZ6" s="613" t="s">
        <v>258</v>
      </c>
      <c r="BA6" s="661" t="s">
        <v>251</v>
      </c>
      <c r="BB6" s="255">
        <v>44896</v>
      </c>
      <c r="BC6" s="255">
        <v>44926</v>
      </c>
      <c r="BD6" s="661" t="s">
        <v>252</v>
      </c>
      <c r="BE6" s="258"/>
      <c r="BF6" s="258"/>
      <c r="BG6" s="258"/>
      <c r="BH6" s="258"/>
      <c r="BI6" s="258"/>
      <c r="BJ6" s="258"/>
      <c r="BK6" s="258"/>
      <c r="BL6" s="258"/>
      <c r="BM6" s="258"/>
      <c r="BN6" s="258"/>
      <c r="BO6" s="258"/>
      <c r="BP6" s="258"/>
      <c r="BQ6" s="258"/>
      <c r="BR6" s="258"/>
      <c r="BS6" s="258"/>
      <c r="BT6" s="258"/>
      <c r="BU6" s="258"/>
      <c r="BV6" s="258"/>
      <c r="BW6" s="258"/>
      <c r="BX6" s="258"/>
    </row>
    <row r="7" spans="1:256" ht="111" thickBot="1">
      <c r="A7" s="827"/>
      <c r="B7" s="816"/>
      <c r="C7" s="816"/>
      <c r="D7" s="816"/>
      <c r="E7" s="816"/>
      <c r="F7" s="829"/>
      <c r="G7" s="835"/>
      <c r="H7" s="816"/>
      <c r="I7" s="816"/>
      <c r="J7" s="816"/>
      <c r="K7" s="816"/>
      <c r="L7" s="819"/>
      <c r="M7" s="816"/>
      <c r="N7" s="819"/>
      <c r="O7" s="816"/>
      <c r="P7" s="819"/>
      <c r="Q7" s="816"/>
      <c r="R7" s="819"/>
      <c r="S7" s="827"/>
      <c r="T7" s="827"/>
      <c r="U7" s="827"/>
      <c r="V7" s="848"/>
      <c r="W7" s="825">
        <f>+IFERROR(VLOOKUP(V8,formulas!$F$1:$G$6,2,FALSE),"")</f>
        <v>0.2</v>
      </c>
      <c r="X7" s="845"/>
      <c r="Y7" s="825"/>
      <c r="Z7" s="822"/>
      <c r="AA7" s="842"/>
      <c r="AB7" s="819"/>
      <c r="AC7" s="614" t="s">
        <v>259</v>
      </c>
      <c r="AD7" s="662" t="s">
        <v>260</v>
      </c>
      <c r="AE7" s="614" t="s">
        <v>57</v>
      </c>
      <c r="AF7" s="617">
        <f t="shared" si="0"/>
        <v>0.25</v>
      </c>
      <c r="AG7" s="614" t="s">
        <v>229</v>
      </c>
      <c r="AH7" s="617">
        <f t="shared" si="7"/>
        <v>0.15</v>
      </c>
      <c r="AI7" s="617">
        <f t="shared" si="1"/>
        <v>0.4</v>
      </c>
      <c r="AJ7" s="614" t="s">
        <v>230</v>
      </c>
      <c r="AK7" s="614" t="s">
        <v>231</v>
      </c>
      <c r="AL7" s="614" t="s">
        <v>247</v>
      </c>
      <c r="AM7" s="614" t="s">
        <v>24</v>
      </c>
      <c r="AN7" s="614" t="s">
        <v>248</v>
      </c>
      <c r="AO7" s="614" t="s">
        <v>25</v>
      </c>
      <c r="AP7" s="614" t="s">
        <v>89</v>
      </c>
      <c r="AQ7" s="614" t="s">
        <v>248</v>
      </c>
      <c r="AR7" s="614" t="s">
        <v>236</v>
      </c>
      <c r="AS7" s="614" t="s">
        <v>249</v>
      </c>
      <c r="AT7" s="614" t="s">
        <v>238</v>
      </c>
      <c r="AU7" s="648">
        <f>+AV6*AI7</f>
        <v>0.10799999999999998</v>
      </c>
      <c r="AV7" s="648">
        <f>+AV6-AU7</f>
        <v>0.16199999999999998</v>
      </c>
      <c r="AW7" s="822"/>
      <c r="AX7" s="827"/>
      <c r="AY7" s="662">
        <v>3</v>
      </c>
      <c r="AZ7" s="614" t="s">
        <v>261</v>
      </c>
      <c r="BA7" s="662" t="s">
        <v>251</v>
      </c>
      <c r="BB7" s="343">
        <v>44896</v>
      </c>
      <c r="BC7" s="343">
        <v>44926</v>
      </c>
      <c r="BD7" s="662" t="s">
        <v>252</v>
      </c>
      <c r="BE7" s="259"/>
      <c r="BF7" s="259"/>
      <c r="BG7" s="259"/>
      <c r="BH7" s="259"/>
      <c r="BI7" s="259"/>
      <c r="BJ7" s="259"/>
      <c r="BK7" s="259"/>
      <c r="BL7" s="259"/>
      <c r="BM7" s="259"/>
      <c r="BN7" s="259"/>
      <c r="BO7" s="259"/>
      <c r="BP7" s="259"/>
      <c r="BQ7" s="259"/>
      <c r="BR7" s="259"/>
      <c r="BS7" s="259"/>
      <c r="BT7" s="259"/>
      <c r="BU7" s="259"/>
      <c r="BV7" s="259"/>
      <c r="BW7" s="259"/>
      <c r="BX7" s="259"/>
    </row>
    <row r="8" spans="1:256" ht="102" customHeight="1">
      <c r="A8" s="826" t="s">
        <v>231</v>
      </c>
      <c r="B8" s="814" t="s">
        <v>85</v>
      </c>
      <c r="C8" s="814" t="s">
        <v>58</v>
      </c>
      <c r="D8" s="814" t="s">
        <v>79</v>
      </c>
      <c r="E8" s="814" t="s">
        <v>80</v>
      </c>
      <c r="F8" s="828" t="s">
        <v>262</v>
      </c>
      <c r="G8" s="833" t="s">
        <v>263</v>
      </c>
      <c r="H8" s="838" t="s">
        <v>264</v>
      </c>
      <c r="I8" s="814" t="s">
        <v>265</v>
      </c>
      <c r="J8" s="814" t="s">
        <v>50</v>
      </c>
      <c r="K8" s="814">
        <v>1</v>
      </c>
      <c r="L8" s="817">
        <f t="shared" si="2"/>
        <v>1.9230769230769232E-2</v>
      </c>
      <c r="M8" s="814" t="s">
        <v>30</v>
      </c>
      <c r="N8" s="817">
        <f t="shared" si="3"/>
        <v>0.2</v>
      </c>
      <c r="O8" s="814" t="s">
        <v>48</v>
      </c>
      <c r="P8" s="817">
        <f t="shared" si="4"/>
        <v>0.4</v>
      </c>
      <c r="Q8" s="814" t="s">
        <v>73</v>
      </c>
      <c r="R8" s="817">
        <f t="shared" si="5"/>
        <v>0</v>
      </c>
      <c r="S8" s="826" t="s">
        <v>60</v>
      </c>
      <c r="T8" s="826" t="s">
        <v>61</v>
      </c>
      <c r="U8" s="826">
        <f t="shared" si="6"/>
        <v>0.4</v>
      </c>
      <c r="V8" s="846" t="str">
        <f>IF(L8&lt;=20%,"Muy baja",IF(L8&lt;=40%,"Baja",IF(L8&lt;=60%,"Media",IF(L8&lt;=80%,"Alta",IF(L8&lt;=100%,"Muy alta",IF(L8&gt;=100%,"Muy alta",""))))))</f>
        <v>Muy baja</v>
      </c>
      <c r="W8" s="823">
        <f>+IFERROR(VLOOKUP(V8,formulas!$F$1:$G$6,2,FALSE),"")</f>
        <v>0.2</v>
      </c>
      <c r="X8" s="843" t="str">
        <f>IF(U8=20%,"Leve",IF(U8=40%,"Menor",IF(U8=60%,"Moderado",IF(U8=80%,"Mayor",IF(U8=100%,"Catastrófico","")))))</f>
        <v>Menor</v>
      </c>
      <c r="Y8" s="823">
        <f>+IFERROR(VLOOKUP(X8,formulas!$H$1:$I$6,2,FALSE),"")%</f>
        <v>4.0000000000000001E-3</v>
      </c>
      <c r="Z8" s="820" t="str">
        <f>+IFERROR(VLOOKUP(V8&amp;X8,formulas!$C$2:$D$26,2,FALSE),"")</f>
        <v>Bajo</v>
      </c>
      <c r="AA8" s="840">
        <f>IF(Z8="Bajo",25%,IF(Z8="Moderado",50%,IF(Z8="Alto",75%,IF(Z8="Extremo",100%,""))))</f>
        <v>0.25</v>
      </c>
      <c r="AB8" s="817" t="s">
        <v>266</v>
      </c>
      <c r="AC8" s="612" t="s">
        <v>267</v>
      </c>
      <c r="AD8" s="612" t="s">
        <v>268</v>
      </c>
      <c r="AE8" s="612" t="s">
        <v>57</v>
      </c>
      <c r="AF8" s="615">
        <f t="shared" si="0"/>
        <v>0.25</v>
      </c>
      <c r="AG8" s="612" t="s">
        <v>229</v>
      </c>
      <c r="AH8" s="615">
        <f t="shared" si="7"/>
        <v>0.15</v>
      </c>
      <c r="AI8" s="615">
        <f t="shared" si="1"/>
        <v>0.4</v>
      </c>
      <c r="AJ8" s="612" t="s">
        <v>230</v>
      </c>
      <c r="AK8" s="612" t="s">
        <v>231</v>
      </c>
      <c r="AL8" s="612" t="s">
        <v>269</v>
      </c>
      <c r="AM8" s="612" t="s">
        <v>24</v>
      </c>
      <c r="AN8" s="612" t="s">
        <v>270</v>
      </c>
      <c r="AO8" s="612" t="s">
        <v>25</v>
      </c>
      <c r="AP8" s="612" t="s">
        <v>50</v>
      </c>
      <c r="AQ8" s="612" t="s">
        <v>271</v>
      </c>
      <c r="AR8" s="612" t="s">
        <v>236</v>
      </c>
      <c r="AS8" s="612" t="s">
        <v>272</v>
      </c>
      <c r="AT8" s="612" t="s">
        <v>238</v>
      </c>
      <c r="AU8" s="690">
        <f>+AA5*AI8</f>
        <v>0.30000000000000004</v>
      </c>
      <c r="AV8" s="690">
        <f>+AA5-AU8</f>
        <v>0.44999999999999996</v>
      </c>
      <c r="AW8" s="820" t="str">
        <f>+IF(C9="Corrupción","Moderado",IF(AV9&lt;=25%,"Bajo",IF(AV9&lt;=50%,"Moderado",IF(AV9&lt;=75%,"Alto",IF(AV9&gt;75%,"Extremo","")))))</f>
        <v>Moderado</v>
      </c>
      <c r="AX8" s="826" t="s">
        <v>59</v>
      </c>
      <c r="AY8" s="208">
        <v>1</v>
      </c>
      <c r="AZ8" s="344" t="s">
        <v>273</v>
      </c>
      <c r="BA8" s="612" t="s">
        <v>274</v>
      </c>
      <c r="BB8" s="260">
        <v>44766</v>
      </c>
      <c r="BC8" s="178">
        <v>44865</v>
      </c>
      <c r="BD8" s="345" t="s">
        <v>275</v>
      </c>
      <c r="BE8" s="342"/>
      <c r="BF8" s="342"/>
      <c r="BG8" s="342"/>
      <c r="BH8" s="342"/>
      <c r="BI8" s="342"/>
      <c r="BJ8" s="342"/>
      <c r="BK8" s="342"/>
      <c r="BL8" s="342"/>
      <c r="BM8" s="342"/>
      <c r="BN8" s="342"/>
      <c r="BO8" s="342"/>
      <c r="BP8" s="342"/>
      <c r="BQ8" s="342"/>
      <c r="BR8" s="342"/>
      <c r="BS8" s="342"/>
      <c r="BT8" s="342"/>
      <c r="BU8" s="342"/>
      <c r="BV8" s="342"/>
      <c r="BW8" s="342"/>
      <c r="BX8" s="342"/>
    </row>
    <row r="9" spans="1:256" s="63" customFormat="1" ht="300" thickBot="1">
      <c r="A9" s="827"/>
      <c r="B9" s="816"/>
      <c r="C9" s="816"/>
      <c r="D9" s="816"/>
      <c r="E9" s="816"/>
      <c r="F9" s="829"/>
      <c r="G9" s="835"/>
      <c r="H9" s="839"/>
      <c r="I9" s="816"/>
      <c r="J9" s="816"/>
      <c r="K9" s="816"/>
      <c r="L9" s="819"/>
      <c r="M9" s="816"/>
      <c r="N9" s="819"/>
      <c r="O9" s="816"/>
      <c r="P9" s="819"/>
      <c r="Q9" s="816"/>
      <c r="R9" s="819"/>
      <c r="S9" s="827"/>
      <c r="T9" s="827"/>
      <c r="U9" s="827"/>
      <c r="V9" s="848"/>
      <c r="W9" s="825">
        <f>+IFERROR(VLOOKUP(V10,formulas!$F$1:$G$6,2,FALSE),"")</f>
        <v>0.2</v>
      </c>
      <c r="X9" s="845"/>
      <c r="Y9" s="825"/>
      <c r="Z9" s="822"/>
      <c r="AA9" s="842"/>
      <c r="AB9" s="819"/>
      <c r="AC9" s="614" t="s">
        <v>276</v>
      </c>
      <c r="AD9" s="614" t="s">
        <v>277</v>
      </c>
      <c r="AE9" s="614" t="s">
        <v>57</v>
      </c>
      <c r="AF9" s="617">
        <f t="shared" si="0"/>
        <v>0.25</v>
      </c>
      <c r="AG9" s="614" t="s">
        <v>229</v>
      </c>
      <c r="AH9" s="617">
        <f t="shared" si="7"/>
        <v>0.15</v>
      </c>
      <c r="AI9" s="617">
        <f t="shared" si="1"/>
        <v>0.4</v>
      </c>
      <c r="AJ9" s="614" t="s">
        <v>230</v>
      </c>
      <c r="AK9" s="614" t="s">
        <v>231</v>
      </c>
      <c r="AL9" s="614" t="s">
        <v>269</v>
      </c>
      <c r="AM9" s="614" t="s">
        <v>24</v>
      </c>
      <c r="AN9" s="614" t="s">
        <v>270</v>
      </c>
      <c r="AO9" s="614" t="s">
        <v>25</v>
      </c>
      <c r="AP9" s="614" t="s">
        <v>50</v>
      </c>
      <c r="AQ9" s="614" t="s">
        <v>278</v>
      </c>
      <c r="AR9" s="614" t="s">
        <v>236</v>
      </c>
      <c r="AS9" s="614" t="s">
        <v>279</v>
      </c>
      <c r="AT9" s="614" t="s">
        <v>238</v>
      </c>
      <c r="AU9" s="648">
        <f>+AV8*AI9</f>
        <v>0.18</v>
      </c>
      <c r="AV9" s="648">
        <f>+AV8-AU9</f>
        <v>0.26999999999999996</v>
      </c>
      <c r="AW9" s="822"/>
      <c r="AX9" s="827"/>
      <c r="AY9" s="638">
        <v>2</v>
      </c>
      <c r="AZ9" s="346" t="s">
        <v>280</v>
      </c>
      <c r="BA9" s="614" t="s">
        <v>281</v>
      </c>
      <c r="BB9" s="194">
        <v>44774</v>
      </c>
      <c r="BC9" s="194">
        <v>44864</v>
      </c>
      <c r="BD9" s="614" t="s">
        <v>282</v>
      </c>
      <c r="BE9" s="259"/>
      <c r="BF9" s="259"/>
      <c r="BG9" s="259"/>
      <c r="BH9" s="259"/>
      <c r="BI9" s="259"/>
      <c r="BJ9" s="259"/>
      <c r="BK9" s="259"/>
      <c r="BL9" s="259"/>
      <c r="BM9" s="259"/>
      <c r="BN9" s="259"/>
      <c r="BO9" s="259"/>
      <c r="BP9" s="259"/>
      <c r="BQ9" s="259"/>
      <c r="BR9" s="259"/>
      <c r="BS9" s="259"/>
      <c r="BT9" s="259"/>
      <c r="BU9" s="259"/>
      <c r="BV9" s="259"/>
      <c r="BW9" s="259"/>
      <c r="BX9" s="259"/>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s="257" customFormat="1" ht="394.5" thickBot="1">
      <c r="A10" s="347" t="s">
        <v>231</v>
      </c>
      <c r="B10" s="213" t="s">
        <v>112</v>
      </c>
      <c r="C10" s="213" t="s">
        <v>58</v>
      </c>
      <c r="D10" s="213" t="s">
        <v>79</v>
      </c>
      <c r="E10" s="213" t="s">
        <v>80</v>
      </c>
      <c r="F10" s="579" t="s">
        <v>283</v>
      </c>
      <c r="G10" s="212" t="s">
        <v>284</v>
      </c>
      <c r="H10" s="213" t="s">
        <v>285</v>
      </c>
      <c r="I10" s="213" t="s">
        <v>286</v>
      </c>
      <c r="J10" s="213" t="s">
        <v>33</v>
      </c>
      <c r="K10" s="213">
        <v>0</v>
      </c>
      <c r="L10" s="348">
        <f t="shared" si="2"/>
        <v>0</v>
      </c>
      <c r="M10" s="213" t="s">
        <v>30</v>
      </c>
      <c r="N10" s="254">
        <f t="shared" si="3"/>
        <v>0.2</v>
      </c>
      <c r="O10" s="213" t="s">
        <v>48</v>
      </c>
      <c r="P10" s="254">
        <f t="shared" si="4"/>
        <v>0.4</v>
      </c>
      <c r="Q10" s="213" t="s">
        <v>73</v>
      </c>
      <c r="R10" s="254">
        <f t="shared" si="5"/>
        <v>0</v>
      </c>
      <c r="S10" s="347" t="s">
        <v>72</v>
      </c>
      <c r="T10" s="347" t="s">
        <v>61</v>
      </c>
      <c r="U10" s="347">
        <f t="shared" si="6"/>
        <v>0.4</v>
      </c>
      <c r="V10" s="349" t="str">
        <f>IF(L10&lt;=20%,"Muy baja",IF(L10&lt;=40%,"Baja",IF(L10&lt;=60%,"Media",IF(L10&lt;=80%,"Alta",IF(L10&lt;=100%,"Muy alta",IF(L10&gt;=100%,"Muy alta",""))))))</f>
        <v>Muy baja</v>
      </c>
      <c r="W10" s="350">
        <f>+IFERROR(VLOOKUP(V11,formulas!$F$1:$G$6,2,FALSE),"")</f>
        <v>0.2</v>
      </c>
      <c r="X10" s="351" t="str">
        <f>IF(U10=20%,"Leve",IF(U10=40%,"Menor",IF(U10=60%,"Moderado",IF(U10=80%,"Mayor",IF(U10=100%,"Catastrófico","")))))</f>
        <v>Menor</v>
      </c>
      <c r="Y10" s="350">
        <f>+IFERROR(VLOOKUP(X10,formulas!$H$1:$I$6,2,FALSE),"")</f>
        <v>0.4</v>
      </c>
      <c r="Z10" s="351" t="str">
        <f>+IFERROR(VLOOKUP(V10&amp;X10,formulas!$C$2:$D$26,2,FALSE),"")</f>
        <v>Bajo</v>
      </c>
      <c r="AA10" s="352">
        <f>IF(Z10="Bajo",25%,IF(Z10="Moderado",50%,IF(Z10="Alto",75%,IF(Z10="Extremo",100%,""))))</f>
        <v>0.25</v>
      </c>
      <c r="AB10" s="254" t="s">
        <v>287</v>
      </c>
      <c r="AC10" s="213" t="s">
        <v>288</v>
      </c>
      <c r="AD10" s="213"/>
      <c r="AE10" s="213" t="s">
        <v>57</v>
      </c>
      <c r="AF10" s="254">
        <f t="shared" si="0"/>
        <v>0.25</v>
      </c>
      <c r="AG10" s="213" t="s">
        <v>229</v>
      </c>
      <c r="AH10" s="254">
        <f t="shared" si="7"/>
        <v>0.15</v>
      </c>
      <c r="AI10" s="254">
        <f t="shared" si="1"/>
        <v>0.4</v>
      </c>
      <c r="AJ10" s="213" t="s">
        <v>230</v>
      </c>
      <c r="AK10" s="213" t="s">
        <v>231</v>
      </c>
      <c r="AL10" s="213" t="s">
        <v>289</v>
      </c>
      <c r="AM10" s="213" t="s">
        <v>41</v>
      </c>
      <c r="AN10" s="213"/>
      <c r="AO10" s="213" t="s">
        <v>25</v>
      </c>
      <c r="AP10" s="213" t="s">
        <v>66</v>
      </c>
      <c r="AQ10" s="353" t="s">
        <v>290</v>
      </c>
      <c r="AR10" s="213" t="s">
        <v>236</v>
      </c>
      <c r="AS10" s="213" t="s">
        <v>291</v>
      </c>
      <c r="AT10" s="213" t="s">
        <v>238</v>
      </c>
      <c r="AU10" s="205">
        <f>+AA10*AI10</f>
        <v>0.1</v>
      </c>
      <c r="AV10" s="205">
        <f>+AA10-AU10</f>
        <v>0.15</v>
      </c>
      <c r="AW10" s="351" t="str">
        <f t="shared" ref="AW10:AW30" si="8">+IF(C10="Corrupción","Moderado",IF(AV10&lt;=25%,"Bajo",IF(AV10&lt;=50%,"Moderado",IF(AV10&lt;=75%,"Alto",IF(AV10&gt;75%,"Extremo","")))))</f>
        <v>Moderado</v>
      </c>
      <c r="AX10" s="347" t="s">
        <v>59</v>
      </c>
      <c r="AY10" s="354">
        <v>1</v>
      </c>
      <c r="AZ10" s="353" t="s">
        <v>292</v>
      </c>
      <c r="BA10" s="213" t="s">
        <v>274</v>
      </c>
      <c r="BB10" s="355">
        <v>44876</v>
      </c>
      <c r="BC10" s="355">
        <v>44926</v>
      </c>
      <c r="BD10" s="213" t="s">
        <v>293</v>
      </c>
      <c r="BE10" s="356"/>
      <c r="BF10" s="356"/>
      <c r="BG10" s="356"/>
      <c r="BH10" s="356"/>
      <c r="BI10" s="356"/>
      <c r="BJ10" s="356"/>
      <c r="BK10" s="356"/>
      <c r="BL10" s="356"/>
      <c r="BM10" s="356"/>
      <c r="BN10" s="356"/>
      <c r="BO10" s="356"/>
      <c r="BP10" s="356"/>
      <c r="BQ10" s="356"/>
      <c r="BR10" s="356"/>
      <c r="BS10" s="356"/>
      <c r="BT10" s="356"/>
      <c r="BU10" s="356"/>
      <c r="BV10" s="356"/>
      <c r="BW10" s="356"/>
      <c r="BX10" s="356"/>
    </row>
    <row r="11" spans="1:256" s="257" customFormat="1" ht="140.25" customHeight="1" thickBot="1">
      <c r="A11" s="347" t="s">
        <v>51</v>
      </c>
      <c r="B11" s="213" t="s">
        <v>102</v>
      </c>
      <c r="C11" s="213" t="s">
        <v>58</v>
      </c>
      <c r="D11" s="213" t="s">
        <v>79</v>
      </c>
      <c r="E11" s="213" t="s">
        <v>36</v>
      </c>
      <c r="F11" s="579" t="s">
        <v>294</v>
      </c>
      <c r="G11" s="212" t="s">
        <v>295</v>
      </c>
      <c r="H11" s="213" t="s">
        <v>296</v>
      </c>
      <c r="I11" s="213" t="s">
        <v>297</v>
      </c>
      <c r="J11" s="213" t="s">
        <v>33</v>
      </c>
      <c r="K11" s="213">
        <v>0</v>
      </c>
      <c r="L11" s="348">
        <f t="shared" si="2"/>
        <v>0</v>
      </c>
      <c r="M11" s="213" t="s">
        <v>73</v>
      </c>
      <c r="N11" s="254">
        <f t="shared" si="3"/>
        <v>0</v>
      </c>
      <c r="O11" s="213" t="s">
        <v>31</v>
      </c>
      <c r="P11" s="254">
        <f t="shared" si="4"/>
        <v>0.2</v>
      </c>
      <c r="Q11" s="213" t="s">
        <v>73</v>
      </c>
      <c r="R11" s="254">
        <f t="shared" si="5"/>
        <v>0</v>
      </c>
      <c r="S11" s="347" t="s">
        <v>73</v>
      </c>
      <c r="T11" s="347" t="s">
        <v>61</v>
      </c>
      <c r="U11" s="347">
        <f t="shared" si="6"/>
        <v>0.2</v>
      </c>
      <c r="V11" s="349" t="str">
        <f t="shared" ref="V11:V30" si="9">IF(L11&lt;=20%,"Muy baja",IF(L11&lt;=40%,"Baja",IF(L11&lt;=60%,"Media",IF(L11&lt;=80%,"Alta",IF(L11&lt;=100%,"Muy alta",IF(L11&gt;=100%,"Muy alta",""))))))</f>
        <v>Muy baja</v>
      </c>
      <c r="W11" s="350">
        <v>0.2</v>
      </c>
      <c r="X11" s="351" t="str">
        <f t="shared" ref="X11:X30" si="10">IF(U11=20%,"Leve",IF(U11=40%,"Menor",IF(U11=60%,"Moderado",IF(U11=80%,"Mayor",IF(U11=100%,"Catastrófico","")))))</f>
        <v>Leve</v>
      </c>
      <c r="Y11" s="350">
        <f>+IFERROR(VLOOKUP(X11,formulas!$H$1:$I$6,2,FALSE),"")</f>
        <v>0.2</v>
      </c>
      <c r="Z11" s="351" t="str">
        <f>+IFERROR(VLOOKUP(V11&amp;X11,formulas!$C$2:$D$26,2,FALSE),"")</f>
        <v>Bajo</v>
      </c>
      <c r="AA11" s="352">
        <f t="shared" ref="AA11:AA30" si="11">IF(Z11="Bajo",25%,IF(Z11="Moderado",50%,IF(Z11="Alto",75%,IF(Z11="Extremo",100%,""))))</f>
        <v>0.25</v>
      </c>
      <c r="AB11" s="254"/>
      <c r="AC11" s="213" t="s">
        <v>298</v>
      </c>
      <c r="AD11" s="213" t="s">
        <v>299</v>
      </c>
      <c r="AE11" s="213" t="s">
        <v>57</v>
      </c>
      <c r="AF11" s="254">
        <v>0.25</v>
      </c>
      <c r="AG11" s="213" t="s">
        <v>229</v>
      </c>
      <c r="AH11" s="254">
        <v>0.15</v>
      </c>
      <c r="AI11" s="254">
        <v>0.4</v>
      </c>
      <c r="AJ11" s="213" t="s">
        <v>230</v>
      </c>
      <c r="AK11" s="213" t="s">
        <v>51</v>
      </c>
      <c r="AL11" s="213"/>
      <c r="AM11" s="213" t="s">
        <v>41</v>
      </c>
      <c r="AN11" s="213"/>
      <c r="AO11" s="213"/>
      <c r="AP11" s="213"/>
      <c r="AQ11" s="353"/>
      <c r="AR11" s="213"/>
      <c r="AS11" s="213"/>
      <c r="AT11" s="213"/>
      <c r="AU11" s="205">
        <f>+AA11*AI11</f>
        <v>0.1</v>
      </c>
      <c r="AV11" s="205">
        <f>+AA11-AU11</f>
        <v>0.15</v>
      </c>
      <c r="AW11" s="351" t="str">
        <f t="shared" si="8"/>
        <v>Moderado</v>
      </c>
      <c r="AX11" s="347" t="s">
        <v>59</v>
      </c>
      <c r="AY11" s="354"/>
      <c r="AZ11" s="353"/>
      <c r="BA11" s="213"/>
      <c r="BB11" s="355"/>
      <c r="BC11" s="355"/>
      <c r="BD11" s="213"/>
      <c r="BE11" s="356"/>
      <c r="BF11" s="356"/>
      <c r="BG11" s="356"/>
      <c r="BH11" s="356"/>
      <c r="BI11" s="356"/>
      <c r="BJ11" s="356"/>
      <c r="BK11" s="356"/>
      <c r="BL11" s="356"/>
      <c r="BM11" s="356"/>
      <c r="BN11" s="356"/>
      <c r="BO11" s="356"/>
      <c r="BP11" s="356"/>
      <c r="BQ11" s="356"/>
      <c r="BR11" s="356"/>
      <c r="BS11" s="356"/>
      <c r="BT11" s="356"/>
      <c r="BU11" s="356"/>
      <c r="BV11" s="356"/>
      <c r="BW11" s="356"/>
      <c r="BX11" s="356"/>
    </row>
    <row r="12" spans="1:256" s="63" customFormat="1" ht="38.25" customHeight="1">
      <c r="A12" s="826" t="s">
        <v>51</v>
      </c>
      <c r="B12" s="814" t="s">
        <v>102</v>
      </c>
      <c r="C12" s="814" t="s">
        <v>58</v>
      </c>
      <c r="D12" s="814" t="s">
        <v>79</v>
      </c>
      <c r="E12" s="814" t="s">
        <v>36</v>
      </c>
      <c r="F12" s="836" t="s">
        <v>300</v>
      </c>
      <c r="G12" s="833" t="s">
        <v>301</v>
      </c>
      <c r="H12" s="833" t="s">
        <v>302</v>
      </c>
      <c r="I12" s="833" t="s">
        <v>303</v>
      </c>
      <c r="J12" s="814" t="s">
        <v>66</v>
      </c>
      <c r="K12" s="814">
        <v>0</v>
      </c>
      <c r="L12" s="817">
        <f t="shared" si="2"/>
        <v>0</v>
      </c>
      <c r="M12" s="814" t="s">
        <v>30</v>
      </c>
      <c r="N12" s="817">
        <f t="shared" si="3"/>
        <v>0.2</v>
      </c>
      <c r="O12" s="814" t="s">
        <v>48</v>
      </c>
      <c r="P12" s="817">
        <f t="shared" si="4"/>
        <v>0.4</v>
      </c>
      <c r="Q12" s="814" t="s">
        <v>73</v>
      </c>
      <c r="R12" s="817">
        <f t="shared" si="5"/>
        <v>0</v>
      </c>
      <c r="S12" s="826" t="s">
        <v>73</v>
      </c>
      <c r="T12" s="826" t="s">
        <v>61</v>
      </c>
      <c r="U12" s="849">
        <f t="shared" si="6"/>
        <v>0.4</v>
      </c>
      <c r="V12" s="846" t="str">
        <f t="shared" si="9"/>
        <v>Muy baja</v>
      </c>
      <c r="W12" s="823">
        <v>0.2</v>
      </c>
      <c r="X12" s="843" t="str">
        <f t="shared" si="10"/>
        <v>Menor</v>
      </c>
      <c r="Y12" s="823">
        <f>+IFERROR(VLOOKUP(X12,formulas!$H$1:$I$6,2,FALSE),"")</f>
        <v>0.4</v>
      </c>
      <c r="Z12" s="820" t="str">
        <f>+IFERROR(VLOOKUP(V12&amp;X12,formulas!$C$2:$D$26,2,FALSE),"")</f>
        <v>Bajo</v>
      </c>
      <c r="AA12" s="879">
        <f t="shared" si="11"/>
        <v>0.25</v>
      </c>
      <c r="AB12" s="872"/>
      <c r="AC12" s="612" t="s">
        <v>304</v>
      </c>
      <c r="AD12" s="612" t="s">
        <v>305</v>
      </c>
      <c r="AE12" s="612" t="s">
        <v>57</v>
      </c>
      <c r="AF12" s="615">
        <v>0.25</v>
      </c>
      <c r="AG12" s="612" t="s">
        <v>229</v>
      </c>
      <c r="AH12" s="615">
        <v>0.15</v>
      </c>
      <c r="AI12" s="615">
        <v>0.4</v>
      </c>
      <c r="AJ12" s="612" t="s">
        <v>230</v>
      </c>
      <c r="AK12" s="612" t="s">
        <v>231</v>
      </c>
      <c r="AL12" s="612">
        <v>0</v>
      </c>
      <c r="AM12" s="612" t="s">
        <v>24</v>
      </c>
      <c r="AN12" s="612" t="s">
        <v>306</v>
      </c>
      <c r="AO12" s="208"/>
      <c r="AP12" s="357"/>
      <c r="AQ12" s="358"/>
      <c r="AR12" s="358"/>
      <c r="AS12" s="357"/>
      <c r="AT12" s="359"/>
      <c r="AU12" s="870">
        <f>+AA12*AI12</f>
        <v>0.1</v>
      </c>
      <c r="AV12" s="868">
        <f>+AA12-AU12</f>
        <v>0.15</v>
      </c>
      <c r="AW12" s="820" t="str">
        <f t="shared" si="8"/>
        <v>Moderado</v>
      </c>
      <c r="AX12" s="874"/>
      <c r="AY12" s="360"/>
      <c r="AZ12" s="172"/>
      <c r="BA12" s="172"/>
      <c r="BB12" s="360"/>
      <c r="BC12" s="172"/>
      <c r="BD12" s="172"/>
      <c r="BE12" s="360"/>
      <c r="BF12" s="172"/>
      <c r="BG12" s="172"/>
      <c r="BH12" s="360"/>
      <c r="BI12" s="360"/>
      <c r="BJ12" s="342"/>
      <c r="BK12" s="637"/>
      <c r="BL12" s="342"/>
      <c r="BM12" s="342"/>
      <c r="BN12" s="342"/>
      <c r="BO12" s="342"/>
      <c r="BP12" s="342"/>
      <c r="BQ12" s="342"/>
      <c r="BR12" s="342"/>
      <c r="BS12" s="342"/>
      <c r="BT12" s="342"/>
      <c r="BU12" s="342"/>
      <c r="BV12" s="342"/>
      <c r="BW12" s="342"/>
      <c r="BX12" s="342"/>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s="63" customFormat="1" ht="38.450000000000003" customHeight="1" thickBot="1">
      <c r="A13" s="827"/>
      <c r="B13" s="816"/>
      <c r="C13" s="816"/>
      <c r="D13" s="816"/>
      <c r="E13" s="816"/>
      <c r="F13" s="837"/>
      <c r="G13" s="835"/>
      <c r="H13" s="835"/>
      <c r="I13" s="835"/>
      <c r="J13" s="816"/>
      <c r="K13" s="816"/>
      <c r="L13" s="819"/>
      <c r="M13" s="816"/>
      <c r="N13" s="819"/>
      <c r="O13" s="816"/>
      <c r="P13" s="819"/>
      <c r="Q13" s="816"/>
      <c r="R13" s="819"/>
      <c r="S13" s="827"/>
      <c r="T13" s="827"/>
      <c r="U13" s="850"/>
      <c r="V13" s="848"/>
      <c r="W13" s="825"/>
      <c r="X13" s="845"/>
      <c r="Y13" s="825"/>
      <c r="Z13" s="822"/>
      <c r="AA13" s="880"/>
      <c r="AB13" s="873"/>
      <c r="AC13" s="614" t="s">
        <v>307</v>
      </c>
      <c r="AD13" s="614" t="s">
        <v>308</v>
      </c>
      <c r="AE13" s="614" t="s">
        <v>57</v>
      </c>
      <c r="AF13" s="617">
        <v>0.25</v>
      </c>
      <c r="AG13" s="614" t="s">
        <v>229</v>
      </c>
      <c r="AH13" s="617">
        <v>0.15</v>
      </c>
      <c r="AI13" s="617">
        <v>0.4</v>
      </c>
      <c r="AJ13" s="614" t="s">
        <v>230</v>
      </c>
      <c r="AK13" s="614" t="s">
        <v>231</v>
      </c>
      <c r="AL13" s="614" t="s">
        <v>309</v>
      </c>
      <c r="AM13" s="614" t="s">
        <v>41</v>
      </c>
      <c r="AN13" s="614"/>
      <c r="AO13" s="638"/>
      <c r="AP13" s="614"/>
      <c r="AQ13" s="642"/>
      <c r="AR13" s="642"/>
      <c r="AS13" s="614"/>
      <c r="AT13" s="361"/>
      <c r="AU13" s="871"/>
      <c r="AV13" s="869"/>
      <c r="AW13" s="822"/>
      <c r="AX13" s="875"/>
      <c r="AY13" s="263"/>
      <c r="AZ13" s="662"/>
      <c r="BA13" s="662"/>
      <c r="BB13" s="263"/>
      <c r="BC13" s="662"/>
      <c r="BD13" s="662"/>
      <c r="BE13" s="263"/>
      <c r="BF13" s="662"/>
      <c r="BG13" s="662"/>
      <c r="BH13" s="263"/>
      <c r="BI13" s="263"/>
      <c r="BJ13" s="259"/>
      <c r="BK13" s="638"/>
      <c r="BL13" s="259"/>
      <c r="BM13" s="259"/>
      <c r="BN13" s="259"/>
      <c r="BO13" s="259"/>
      <c r="BP13" s="259"/>
      <c r="BQ13" s="259"/>
      <c r="BR13" s="259"/>
      <c r="BS13" s="259"/>
      <c r="BT13" s="259"/>
      <c r="BU13" s="259"/>
      <c r="BV13" s="259"/>
      <c r="BW13" s="259"/>
      <c r="BX13" s="259"/>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row>
    <row r="14" spans="1:256" s="257" customFormat="1" ht="174" thickBot="1">
      <c r="A14" s="347" t="s">
        <v>51</v>
      </c>
      <c r="B14" s="213" t="s">
        <v>102</v>
      </c>
      <c r="C14" s="213" t="s">
        <v>58</v>
      </c>
      <c r="D14" s="213" t="s">
        <v>79</v>
      </c>
      <c r="E14" s="213" t="s">
        <v>36</v>
      </c>
      <c r="F14" s="579" t="s">
        <v>310</v>
      </c>
      <c r="G14" s="212" t="s">
        <v>311</v>
      </c>
      <c r="H14" s="213" t="s">
        <v>312</v>
      </c>
      <c r="I14" s="213" t="s">
        <v>313</v>
      </c>
      <c r="J14" s="213" t="s">
        <v>33</v>
      </c>
      <c r="K14" s="213">
        <v>0</v>
      </c>
      <c r="L14" s="348">
        <f t="shared" si="2"/>
        <v>0</v>
      </c>
      <c r="M14" s="213" t="s">
        <v>73</v>
      </c>
      <c r="N14" s="254">
        <f t="shared" si="3"/>
        <v>0</v>
      </c>
      <c r="O14" s="213" t="s">
        <v>31</v>
      </c>
      <c r="P14" s="254">
        <f t="shared" si="4"/>
        <v>0.2</v>
      </c>
      <c r="Q14" s="213" t="s">
        <v>73</v>
      </c>
      <c r="R14" s="254">
        <f t="shared" si="5"/>
        <v>0</v>
      </c>
      <c r="S14" s="347" t="s">
        <v>73</v>
      </c>
      <c r="T14" s="347" t="s">
        <v>61</v>
      </c>
      <c r="U14" s="347">
        <f t="shared" si="6"/>
        <v>0.2</v>
      </c>
      <c r="V14" s="349" t="str">
        <f t="shared" si="9"/>
        <v>Muy baja</v>
      </c>
      <c r="W14" s="350">
        <v>0.2</v>
      </c>
      <c r="X14" s="351" t="str">
        <f t="shared" si="10"/>
        <v>Leve</v>
      </c>
      <c r="Y14" s="350">
        <f>+IFERROR(VLOOKUP(X10,formulas!$H$1:$I$6,2,FALSE),"")</f>
        <v>0.4</v>
      </c>
      <c r="Z14" s="351" t="str">
        <f>+IFERROR(VLOOKUP(V14&amp;X14,formulas!$C$2:$D$26,2,FALSE),"")</f>
        <v>Bajo</v>
      </c>
      <c r="AA14" s="352">
        <f t="shared" si="11"/>
        <v>0.25</v>
      </c>
      <c r="AB14" s="254"/>
      <c r="AC14" s="213" t="s">
        <v>314</v>
      </c>
      <c r="AD14" s="213" t="s">
        <v>315</v>
      </c>
      <c r="AE14" s="213" t="s">
        <v>57</v>
      </c>
      <c r="AF14" s="254">
        <v>0.25</v>
      </c>
      <c r="AG14" s="213" t="s">
        <v>229</v>
      </c>
      <c r="AH14" s="254">
        <v>0.15</v>
      </c>
      <c r="AI14" s="254">
        <v>0.4</v>
      </c>
      <c r="AJ14" s="213" t="s">
        <v>230</v>
      </c>
      <c r="AK14" s="213" t="s">
        <v>51</v>
      </c>
      <c r="AL14" s="213"/>
      <c r="AM14" s="213" t="s">
        <v>41</v>
      </c>
      <c r="AN14" s="213"/>
      <c r="AO14" s="213"/>
      <c r="AP14" s="213"/>
      <c r="AQ14" s="353"/>
      <c r="AR14" s="213"/>
      <c r="AS14" s="213"/>
      <c r="AT14" s="213"/>
      <c r="AU14" s="205">
        <f>+AA14*AI14</f>
        <v>0.1</v>
      </c>
      <c r="AV14" s="205">
        <f>+AA14-AU14</f>
        <v>0.15</v>
      </c>
      <c r="AW14" s="351" t="str">
        <f t="shared" si="8"/>
        <v>Moderado</v>
      </c>
      <c r="AX14" s="406"/>
      <c r="AY14" s="354"/>
      <c r="AZ14" s="353"/>
      <c r="BA14" s="213"/>
      <c r="BB14" s="355"/>
      <c r="BC14" s="355"/>
      <c r="BD14" s="213"/>
      <c r="BE14" s="356"/>
      <c r="BF14" s="356"/>
      <c r="BG14" s="356"/>
      <c r="BH14" s="356"/>
      <c r="BI14" s="356"/>
      <c r="BJ14" s="356"/>
      <c r="BK14" s="356"/>
      <c r="BL14" s="356"/>
      <c r="BM14" s="356"/>
      <c r="BN14" s="356"/>
      <c r="BO14" s="356"/>
      <c r="BP14" s="356"/>
      <c r="BQ14" s="356"/>
      <c r="BR14" s="356"/>
      <c r="BS14" s="356"/>
      <c r="BT14" s="356"/>
      <c r="BU14" s="356"/>
      <c r="BV14" s="356"/>
      <c r="BW14" s="356"/>
      <c r="BX14" s="356"/>
    </row>
    <row r="15" spans="1:256" s="63" customFormat="1" ht="89.25" customHeight="1">
      <c r="A15" s="826" t="s">
        <v>51</v>
      </c>
      <c r="B15" s="814" t="s">
        <v>106</v>
      </c>
      <c r="C15" s="814" t="s">
        <v>58</v>
      </c>
      <c r="D15" s="814" t="s">
        <v>79</v>
      </c>
      <c r="E15" s="814" t="s">
        <v>80</v>
      </c>
      <c r="F15" s="828" t="s">
        <v>316</v>
      </c>
      <c r="G15" s="833" t="s">
        <v>317</v>
      </c>
      <c r="H15" s="814" t="s">
        <v>318</v>
      </c>
      <c r="I15" s="814" t="s">
        <v>319</v>
      </c>
      <c r="J15" s="814" t="s">
        <v>50</v>
      </c>
      <c r="K15" s="814">
        <v>0</v>
      </c>
      <c r="L15" s="817">
        <f t="shared" si="2"/>
        <v>0</v>
      </c>
      <c r="M15" s="814" t="s">
        <v>47</v>
      </c>
      <c r="N15" s="817">
        <f t="shared" si="3"/>
        <v>0.4</v>
      </c>
      <c r="O15" s="814" t="s">
        <v>48</v>
      </c>
      <c r="P15" s="817">
        <f t="shared" si="4"/>
        <v>0.4</v>
      </c>
      <c r="Q15" s="814" t="s">
        <v>73</v>
      </c>
      <c r="R15" s="817">
        <f t="shared" si="5"/>
        <v>0</v>
      </c>
      <c r="S15" s="826" t="s">
        <v>60</v>
      </c>
      <c r="T15" s="826" t="s">
        <v>28</v>
      </c>
      <c r="U15" s="826">
        <f t="shared" si="6"/>
        <v>0.4</v>
      </c>
      <c r="V15" s="846" t="str">
        <f t="shared" si="9"/>
        <v>Muy baja</v>
      </c>
      <c r="W15" s="823">
        <v>0.2</v>
      </c>
      <c r="X15" s="843" t="str">
        <f t="shared" si="10"/>
        <v>Menor</v>
      </c>
      <c r="Y15" s="823">
        <f>+IFERROR(VLOOKUP(X10,formulas!$H$1:$I$6,2,FALSE),"")</f>
        <v>0.4</v>
      </c>
      <c r="Z15" s="820" t="str">
        <f>+IFERROR(VLOOKUP(V15&amp;X15,formulas!$C$2:$D$26,2,FALSE),"")</f>
        <v>Bajo</v>
      </c>
      <c r="AA15" s="840">
        <f t="shared" si="11"/>
        <v>0.25</v>
      </c>
      <c r="AB15" s="817" t="s">
        <v>320</v>
      </c>
      <c r="AC15" s="612" t="s">
        <v>321</v>
      </c>
      <c r="AD15" s="612" t="s">
        <v>322</v>
      </c>
      <c r="AE15" s="612" t="s">
        <v>57</v>
      </c>
      <c r="AF15" s="615">
        <f t="shared" ref="AF15:AF29" si="12">IF(AE15="Preventivo",25%,IF(AE15="Detectivo",15%,IF(AE15="Correctivo",10%,"")))</f>
        <v>0.25</v>
      </c>
      <c r="AG15" s="612" t="s">
        <v>229</v>
      </c>
      <c r="AH15" s="615">
        <f t="shared" ref="AH15:AH22" si="13">IF(AG15="Manual",15%,IF(AG15="Automático",25%,""))</f>
        <v>0.15</v>
      </c>
      <c r="AI15" s="615">
        <f t="shared" ref="AI15:AI29" si="14">+AH15+AF15</f>
        <v>0.4</v>
      </c>
      <c r="AJ15" s="612" t="s">
        <v>230</v>
      </c>
      <c r="AK15" s="612" t="s">
        <v>231</v>
      </c>
      <c r="AL15" s="612" t="s">
        <v>323</v>
      </c>
      <c r="AM15" s="612" t="s">
        <v>24</v>
      </c>
      <c r="AN15" s="612" t="s">
        <v>324</v>
      </c>
      <c r="AO15" s="612" t="s">
        <v>25</v>
      </c>
      <c r="AP15" s="612" t="s">
        <v>325</v>
      </c>
      <c r="AQ15" s="612" t="s">
        <v>326</v>
      </c>
      <c r="AR15" s="612" t="s">
        <v>236</v>
      </c>
      <c r="AS15" s="612" t="s">
        <v>327</v>
      </c>
      <c r="AT15" s="612" t="s">
        <v>238</v>
      </c>
      <c r="AU15" s="852">
        <f>+AA15*AI15</f>
        <v>0.1</v>
      </c>
      <c r="AV15" s="852">
        <f>+AA15-AU15</f>
        <v>0.15</v>
      </c>
      <c r="AW15" s="843" t="str">
        <f t="shared" si="8"/>
        <v>Moderado</v>
      </c>
      <c r="AX15" s="826" t="s">
        <v>59</v>
      </c>
      <c r="AY15" s="208">
        <v>1</v>
      </c>
      <c r="AZ15" s="628" t="s">
        <v>328</v>
      </c>
      <c r="BA15" s="612" t="s">
        <v>329</v>
      </c>
      <c r="BB15" s="260">
        <v>44562</v>
      </c>
      <c r="BC15" s="260">
        <v>44926</v>
      </c>
      <c r="BD15" s="612" t="s">
        <v>330</v>
      </c>
      <c r="BE15" s="342"/>
      <c r="BF15" s="342"/>
      <c r="BG15" s="342"/>
      <c r="BH15" s="342"/>
      <c r="BI15" s="342"/>
      <c r="BJ15" s="342"/>
      <c r="BK15" s="342"/>
      <c r="BL15" s="342"/>
      <c r="BM15" s="342"/>
      <c r="BN15" s="342"/>
      <c r="BO15" s="342"/>
      <c r="BP15" s="342"/>
      <c r="BQ15" s="342"/>
      <c r="BR15" s="342"/>
      <c r="BS15" s="342"/>
      <c r="BT15" s="342"/>
      <c r="BU15" s="342"/>
      <c r="BV15" s="342"/>
      <c r="BW15" s="342"/>
      <c r="BX15" s="342"/>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s="63" customFormat="1" ht="127.5" customHeight="1">
      <c r="A16" s="831"/>
      <c r="B16" s="815"/>
      <c r="C16" s="815"/>
      <c r="D16" s="815"/>
      <c r="E16" s="815"/>
      <c r="F16" s="832"/>
      <c r="G16" s="834"/>
      <c r="H16" s="815"/>
      <c r="I16" s="815"/>
      <c r="J16" s="815"/>
      <c r="K16" s="815"/>
      <c r="L16" s="818"/>
      <c r="M16" s="815"/>
      <c r="N16" s="818"/>
      <c r="O16" s="815"/>
      <c r="P16" s="818"/>
      <c r="Q16" s="815"/>
      <c r="R16" s="818"/>
      <c r="S16" s="831"/>
      <c r="T16" s="831"/>
      <c r="U16" s="831"/>
      <c r="V16" s="847" t="str">
        <f t="shared" si="9"/>
        <v>Muy baja</v>
      </c>
      <c r="W16" s="824"/>
      <c r="X16" s="844" t="str">
        <f t="shared" si="10"/>
        <v/>
      </c>
      <c r="Y16" s="824" t="s">
        <v>331</v>
      </c>
      <c r="Z16" s="821"/>
      <c r="AA16" s="841" t="str">
        <f t="shared" si="11"/>
        <v/>
      </c>
      <c r="AB16" s="818"/>
      <c r="AC16" s="613" t="s">
        <v>332</v>
      </c>
      <c r="AD16" s="613" t="s">
        <v>333</v>
      </c>
      <c r="AE16" s="613" t="s">
        <v>57</v>
      </c>
      <c r="AF16" s="616">
        <f t="shared" si="12"/>
        <v>0.25</v>
      </c>
      <c r="AG16" s="613" t="s">
        <v>229</v>
      </c>
      <c r="AH16" s="616">
        <f t="shared" si="13"/>
        <v>0.15</v>
      </c>
      <c r="AI16" s="616">
        <f t="shared" si="14"/>
        <v>0.4</v>
      </c>
      <c r="AJ16" s="613" t="s">
        <v>230</v>
      </c>
      <c r="AK16" s="613" t="s">
        <v>231</v>
      </c>
      <c r="AL16" s="613" t="s">
        <v>323</v>
      </c>
      <c r="AM16" s="613" t="s">
        <v>24</v>
      </c>
      <c r="AN16" s="613" t="s">
        <v>334</v>
      </c>
      <c r="AO16" s="613" t="s">
        <v>25</v>
      </c>
      <c r="AP16" s="613" t="s">
        <v>325</v>
      </c>
      <c r="AQ16" s="613" t="s">
        <v>335</v>
      </c>
      <c r="AR16" s="613" t="s">
        <v>236</v>
      </c>
      <c r="AS16" s="613" t="s">
        <v>336</v>
      </c>
      <c r="AT16" s="613" t="s">
        <v>238</v>
      </c>
      <c r="AU16" s="853"/>
      <c r="AV16" s="853"/>
      <c r="AW16" s="844" t="str">
        <f t="shared" si="8"/>
        <v>Bajo</v>
      </c>
      <c r="AX16" s="831"/>
      <c r="AY16" s="640">
        <v>2</v>
      </c>
      <c r="AZ16" s="613" t="s">
        <v>337</v>
      </c>
      <c r="BA16" s="613" t="s">
        <v>338</v>
      </c>
      <c r="BB16" s="179">
        <v>44562</v>
      </c>
      <c r="BC16" s="179">
        <v>44772</v>
      </c>
      <c r="BD16" s="613" t="s">
        <v>339</v>
      </c>
      <c r="BE16" s="258"/>
      <c r="BF16" s="258"/>
      <c r="BG16" s="258"/>
      <c r="BH16" s="258"/>
      <c r="BI16" s="258"/>
      <c r="BJ16" s="258"/>
      <c r="BK16" s="258"/>
      <c r="BL16" s="258"/>
      <c r="BM16" s="258"/>
      <c r="BN16" s="258"/>
      <c r="BO16" s="258"/>
      <c r="BP16" s="258"/>
      <c r="BQ16" s="258"/>
      <c r="BR16" s="258"/>
      <c r="BS16" s="258"/>
      <c r="BT16" s="258"/>
      <c r="BU16" s="258"/>
      <c r="BV16" s="258"/>
      <c r="BW16" s="258"/>
      <c r="BX16" s="258"/>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76" s="63" customFormat="1" ht="95.25" thickBot="1">
      <c r="A17" s="827"/>
      <c r="B17" s="816"/>
      <c r="C17" s="816"/>
      <c r="D17" s="816"/>
      <c r="E17" s="816"/>
      <c r="F17" s="829"/>
      <c r="G17" s="835"/>
      <c r="H17" s="816"/>
      <c r="I17" s="816"/>
      <c r="J17" s="816"/>
      <c r="K17" s="816"/>
      <c r="L17" s="819"/>
      <c r="M17" s="816"/>
      <c r="N17" s="819"/>
      <c r="O17" s="816"/>
      <c r="P17" s="819"/>
      <c r="Q17" s="816"/>
      <c r="R17" s="819"/>
      <c r="S17" s="827"/>
      <c r="T17" s="827"/>
      <c r="U17" s="827"/>
      <c r="V17" s="848" t="str">
        <f t="shared" si="9"/>
        <v>Muy baja</v>
      </c>
      <c r="W17" s="825"/>
      <c r="X17" s="845" t="str">
        <f t="shared" si="10"/>
        <v/>
      </c>
      <c r="Y17" s="825" t="s">
        <v>331</v>
      </c>
      <c r="Z17" s="822"/>
      <c r="AA17" s="842" t="str">
        <f t="shared" si="11"/>
        <v/>
      </c>
      <c r="AB17" s="819"/>
      <c r="AC17" s="614" t="s">
        <v>340</v>
      </c>
      <c r="AD17" s="614" t="s">
        <v>341</v>
      </c>
      <c r="AE17" s="614" t="s">
        <v>57</v>
      </c>
      <c r="AF17" s="617">
        <f t="shared" si="12"/>
        <v>0.25</v>
      </c>
      <c r="AG17" s="614" t="s">
        <v>229</v>
      </c>
      <c r="AH17" s="617">
        <f t="shared" si="13"/>
        <v>0.15</v>
      </c>
      <c r="AI17" s="617">
        <f t="shared" si="14"/>
        <v>0.4</v>
      </c>
      <c r="AJ17" s="614" t="s">
        <v>230</v>
      </c>
      <c r="AK17" s="614">
        <f>+AS14</f>
        <v>0</v>
      </c>
      <c r="AL17" s="614" t="s">
        <v>342</v>
      </c>
      <c r="AM17" s="614" t="s">
        <v>24</v>
      </c>
      <c r="AN17" s="614" t="s">
        <v>334</v>
      </c>
      <c r="AO17" s="614" t="s">
        <v>25</v>
      </c>
      <c r="AP17" s="614" t="s">
        <v>66</v>
      </c>
      <c r="AQ17" s="614" t="s">
        <v>343</v>
      </c>
      <c r="AR17" s="614">
        <f>+AZ14</f>
        <v>0</v>
      </c>
      <c r="AS17" s="614" t="s">
        <v>336</v>
      </c>
      <c r="AT17" s="614">
        <f>+BB14</f>
        <v>0</v>
      </c>
      <c r="AU17" s="854"/>
      <c r="AV17" s="854"/>
      <c r="AW17" s="845" t="str">
        <f t="shared" si="8"/>
        <v>Bajo</v>
      </c>
      <c r="AX17" s="827"/>
      <c r="AY17" s="638">
        <v>3</v>
      </c>
      <c r="AZ17" s="614" t="s">
        <v>344</v>
      </c>
      <c r="BA17" s="614" t="s">
        <v>345</v>
      </c>
      <c r="BB17" s="194">
        <v>44562</v>
      </c>
      <c r="BC17" s="194">
        <v>44926</v>
      </c>
      <c r="BD17" s="614" t="s">
        <v>346</v>
      </c>
      <c r="BE17" s="638"/>
      <c r="BF17" s="638"/>
      <c r="BG17" s="638"/>
      <c r="BH17" s="638"/>
      <c r="BI17" s="638"/>
      <c r="BJ17" s="638"/>
      <c r="BK17" s="638"/>
      <c r="BL17" s="638"/>
      <c r="BM17" s="638"/>
      <c r="BN17" s="638"/>
      <c r="BO17" s="638"/>
      <c r="BP17" s="638"/>
      <c r="BQ17" s="638"/>
      <c r="BR17" s="638"/>
      <c r="BS17" s="638"/>
      <c r="BT17" s="638"/>
      <c r="BU17" s="638"/>
      <c r="BV17" s="638"/>
      <c r="BW17" s="638"/>
      <c r="BX17" s="638"/>
    </row>
    <row r="18" spans="1:76" s="63" customFormat="1" ht="306" customHeight="1">
      <c r="A18" s="826" t="s">
        <v>51</v>
      </c>
      <c r="B18" s="814" t="s">
        <v>94</v>
      </c>
      <c r="C18" s="814" t="s">
        <v>58</v>
      </c>
      <c r="D18" s="814" t="s">
        <v>79</v>
      </c>
      <c r="E18" s="814" t="s">
        <v>80</v>
      </c>
      <c r="F18" s="836" t="s">
        <v>347</v>
      </c>
      <c r="G18" s="833" t="s">
        <v>348</v>
      </c>
      <c r="H18" s="814" t="s">
        <v>349</v>
      </c>
      <c r="I18" s="833" t="s">
        <v>350</v>
      </c>
      <c r="J18" s="814" t="s">
        <v>89</v>
      </c>
      <c r="K18" s="814">
        <v>0</v>
      </c>
      <c r="L18" s="817">
        <f t="shared" si="2"/>
        <v>0</v>
      </c>
      <c r="M18" s="814" t="s">
        <v>30</v>
      </c>
      <c r="N18" s="817">
        <f t="shared" si="3"/>
        <v>0.2</v>
      </c>
      <c r="O18" s="814" t="s">
        <v>73</v>
      </c>
      <c r="P18" s="817">
        <f t="shared" si="4"/>
        <v>0</v>
      </c>
      <c r="Q18" s="814" t="s">
        <v>73</v>
      </c>
      <c r="R18" s="817">
        <f t="shared" si="5"/>
        <v>0</v>
      </c>
      <c r="S18" s="826" t="s">
        <v>93</v>
      </c>
      <c r="T18" s="826" t="s">
        <v>45</v>
      </c>
      <c r="U18" s="826">
        <f t="shared" si="6"/>
        <v>0.2</v>
      </c>
      <c r="V18" s="846" t="str">
        <f t="shared" si="9"/>
        <v>Muy baja</v>
      </c>
      <c r="W18" s="823">
        <v>0.2</v>
      </c>
      <c r="X18" s="843" t="str">
        <f t="shared" si="10"/>
        <v>Leve</v>
      </c>
      <c r="Y18" s="823">
        <f>+IFERROR(VLOOKUP(X18,formulas!$H$1:$I$6,2,FALSE),"")</f>
        <v>0.2</v>
      </c>
      <c r="Z18" s="820" t="str">
        <f>+IFERROR(VLOOKUP(V18&amp;X18,formulas!$C$2:$D$26,2,FALSE),"")</f>
        <v>Bajo</v>
      </c>
      <c r="AA18" s="840">
        <f t="shared" si="11"/>
        <v>0.25</v>
      </c>
      <c r="AB18" s="817" t="s">
        <v>351</v>
      </c>
      <c r="AC18" s="737" t="s">
        <v>352</v>
      </c>
      <c r="AD18" s="628" t="s">
        <v>353</v>
      </c>
      <c r="AE18" s="612" t="s">
        <v>57</v>
      </c>
      <c r="AF18" s="615">
        <f t="shared" si="12"/>
        <v>0.25</v>
      </c>
      <c r="AG18" s="612" t="s">
        <v>229</v>
      </c>
      <c r="AH18" s="615">
        <f t="shared" si="13"/>
        <v>0.15</v>
      </c>
      <c r="AI18" s="615">
        <f t="shared" si="14"/>
        <v>0.4</v>
      </c>
      <c r="AJ18" s="612" t="s">
        <v>230</v>
      </c>
      <c r="AK18" s="612" t="s">
        <v>231</v>
      </c>
      <c r="AL18" s="612" t="s">
        <v>354</v>
      </c>
      <c r="AM18" s="612" t="s">
        <v>24</v>
      </c>
      <c r="AN18" s="612" t="s">
        <v>355</v>
      </c>
      <c r="AO18" s="612" t="s">
        <v>25</v>
      </c>
      <c r="AP18" s="612" t="s">
        <v>89</v>
      </c>
      <c r="AQ18" s="612" t="s">
        <v>356</v>
      </c>
      <c r="AR18" s="612" t="s">
        <v>236</v>
      </c>
      <c r="AS18" s="612" t="s">
        <v>357</v>
      </c>
      <c r="AT18" s="612" t="s">
        <v>238</v>
      </c>
      <c r="AU18" s="634">
        <f>+AA18*AI18</f>
        <v>0.1</v>
      </c>
      <c r="AV18" s="634">
        <f>+AA18-AU18</f>
        <v>0.15</v>
      </c>
      <c r="AW18" s="843" t="str">
        <f t="shared" si="8"/>
        <v>Moderado</v>
      </c>
      <c r="AX18" s="826" t="s">
        <v>59</v>
      </c>
      <c r="AY18" s="208">
        <v>1</v>
      </c>
      <c r="AZ18" s="626" t="s">
        <v>358</v>
      </c>
      <c r="BA18" s="626" t="s">
        <v>359</v>
      </c>
      <c r="BB18" s="358">
        <v>44805</v>
      </c>
      <c r="BC18" s="358">
        <v>44926</v>
      </c>
      <c r="BD18" s="626" t="s">
        <v>360</v>
      </c>
      <c r="BE18" s="637"/>
      <c r="BF18" s="637"/>
      <c r="BG18" s="637"/>
      <c r="BH18" s="637"/>
      <c r="BI18" s="637"/>
      <c r="BJ18" s="637"/>
      <c r="BK18" s="637"/>
      <c r="BL18" s="637"/>
      <c r="BM18" s="637"/>
      <c r="BN18" s="637"/>
      <c r="BO18" s="637"/>
      <c r="BP18" s="637"/>
      <c r="BQ18" s="637"/>
      <c r="BR18" s="637"/>
      <c r="BS18" s="637"/>
      <c r="BT18" s="637"/>
      <c r="BU18" s="637"/>
      <c r="BV18" s="637"/>
      <c r="BW18" s="637"/>
      <c r="BX18" s="637"/>
    </row>
    <row r="19" spans="1:76" s="63" customFormat="1" ht="409.5">
      <c r="A19" s="831"/>
      <c r="B19" s="815"/>
      <c r="C19" s="815"/>
      <c r="D19" s="815"/>
      <c r="E19" s="815"/>
      <c r="F19" s="851"/>
      <c r="G19" s="834"/>
      <c r="H19" s="815"/>
      <c r="I19" s="834"/>
      <c r="J19" s="815"/>
      <c r="K19" s="815"/>
      <c r="L19" s="818" t="str">
        <f t="shared" si="2"/>
        <v/>
      </c>
      <c r="M19" s="815"/>
      <c r="N19" s="818" t="str">
        <f t="shared" si="3"/>
        <v/>
      </c>
      <c r="O19" s="815"/>
      <c r="P19" s="818" t="str">
        <f t="shared" si="4"/>
        <v/>
      </c>
      <c r="Q19" s="815"/>
      <c r="R19" s="818" t="str">
        <f t="shared" si="5"/>
        <v/>
      </c>
      <c r="S19" s="831"/>
      <c r="T19" s="831"/>
      <c r="U19" s="831">
        <f t="shared" si="6"/>
        <v>0</v>
      </c>
      <c r="V19" s="847" t="str">
        <f t="shared" si="9"/>
        <v>Muy alta</v>
      </c>
      <c r="W19" s="824"/>
      <c r="X19" s="844" t="str">
        <f t="shared" si="10"/>
        <v/>
      </c>
      <c r="Y19" s="824" t="s">
        <v>331</v>
      </c>
      <c r="Z19" s="821"/>
      <c r="AA19" s="841" t="str">
        <f t="shared" si="11"/>
        <v/>
      </c>
      <c r="AB19" s="818"/>
      <c r="AC19" s="632" t="s">
        <v>361</v>
      </c>
      <c r="AD19" s="731" t="s">
        <v>362</v>
      </c>
      <c r="AE19" s="613" t="s">
        <v>57</v>
      </c>
      <c r="AF19" s="616">
        <f t="shared" si="12"/>
        <v>0.25</v>
      </c>
      <c r="AG19" s="613" t="s">
        <v>229</v>
      </c>
      <c r="AH19" s="616">
        <f t="shared" si="13"/>
        <v>0.15</v>
      </c>
      <c r="AI19" s="616">
        <f t="shared" si="14"/>
        <v>0.4</v>
      </c>
      <c r="AJ19" s="613" t="s">
        <v>230</v>
      </c>
      <c r="AK19" s="613" t="s">
        <v>231</v>
      </c>
      <c r="AL19" s="613" t="s">
        <v>363</v>
      </c>
      <c r="AM19" s="613" t="s">
        <v>24</v>
      </c>
      <c r="AN19" s="613" t="s">
        <v>364</v>
      </c>
      <c r="AO19" s="613" t="s">
        <v>25</v>
      </c>
      <c r="AP19" s="613" t="s">
        <v>99</v>
      </c>
      <c r="AQ19" s="613" t="s">
        <v>365</v>
      </c>
      <c r="AR19" s="613" t="s">
        <v>236</v>
      </c>
      <c r="AS19" s="613" t="s">
        <v>366</v>
      </c>
      <c r="AT19" s="613" t="s">
        <v>238</v>
      </c>
      <c r="AU19" s="332">
        <f>+AA18*AI19</f>
        <v>0.1</v>
      </c>
      <c r="AV19" s="332">
        <f>+AA18-AU19</f>
        <v>0.15</v>
      </c>
      <c r="AW19" s="844" t="str">
        <f t="shared" si="8"/>
        <v>Bajo</v>
      </c>
      <c r="AX19" s="831"/>
      <c r="AY19" s="640">
        <v>2</v>
      </c>
      <c r="AZ19" s="632" t="s">
        <v>367</v>
      </c>
      <c r="BA19" s="632" t="s">
        <v>368</v>
      </c>
      <c r="BB19" s="641">
        <v>44805</v>
      </c>
      <c r="BC19" s="641">
        <v>44926</v>
      </c>
      <c r="BD19" s="632" t="s">
        <v>369</v>
      </c>
      <c r="BE19" s="640"/>
      <c r="BF19" s="640"/>
      <c r="BG19" s="640"/>
      <c r="BH19" s="640"/>
      <c r="BI19" s="640"/>
      <c r="BJ19" s="640"/>
      <c r="BK19" s="640"/>
      <c r="BL19" s="640"/>
      <c r="BM19" s="640"/>
      <c r="BN19" s="640"/>
      <c r="BO19" s="640"/>
      <c r="BP19" s="640"/>
      <c r="BQ19" s="640"/>
      <c r="BR19" s="640"/>
      <c r="BS19" s="640"/>
      <c r="BT19" s="640"/>
      <c r="BU19" s="640"/>
      <c r="BV19" s="640"/>
      <c r="BW19" s="640"/>
      <c r="BX19" s="640"/>
    </row>
    <row r="20" spans="1:76" s="63" customFormat="1" ht="262.14999999999998" customHeight="1">
      <c r="A20" s="831"/>
      <c r="B20" s="815"/>
      <c r="C20" s="815"/>
      <c r="D20" s="815"/>
      <c r="E20" s="815"/>
      <c r="F20" s="851"/>
      <c r="G20" s="834"/>
      <c r="H20" s="815"/>
      <c r="I20" s="834"/>
      <c r="J20" s="815"/>
      <c r="K20" s="815"/>
      <c r="L20" s="818" t="str">
        <f t="shared" si="2"/>
        <v/>
      </c>
      <c r="M20" s="815"/>
      <c r="N20" s="818" t="str">
        <f t="shared" si="3"/>
        <v/>
      </c>
      <c r="O20" s="815"/>
      <c r="P20" s="818" t="str">
        <f t="shared" si="4"/>
        <v/>
      </c>
      <c r="Q20" s="815"/>
      <c r="R20" s="818" t="str">
        <f t="shared" si="5"/>
        <v/>
      </c>
      <c r="S20" s="831"/>
      <c r="T20" s="831"/>
      <c r="U20" s="831">
        <f t="shared" si="6"/>
        <v>0</v>
      </c>
      <c r="V20" s="847" t="str">
        <f t="shared" si="9"/>
        <v>Muy alta</v>
      </c>
      <c r="W20" s="824"/>
      <c r="X20" s="844" t="str">
        <f t="shared" si="10"/>
        <v/>
      </c>
      <c r="Y20" s="824" t="s">
        <v>331</v>
      </c>
      <c r="Z20" s="821"/>
      <c r="AA20" s="841" t="str">
        <f t="shared" si="11"/>
        <v/>
      </c>
      <c r="AB20" s="818"/>
      <c r="AC20" s="632" t="s">
        <v>370</v>
      </c>
      <c r="AD20" s="731" t="s">
        <v>371</v>
      </c>
      <c r="AE20" s="613" t="s">
        <v>57</v>
      </c>
      <c r="AF20" s="616">
        <f t="shared" si="12"/>
        <v>0.25</v>
      </c>
      <c r="AG20" s="613" t="s">
        <v>229</v>
      </c>
      <c r="AH20" s="616">
        <f t="shared" si="13"/>
        <v>0.15</v>
      </c>
      <c r="AI20" s="616">
        <f t="shared" si="14"/>
        <v>0.4</v>
      </c>
      <c r="AJ20" s="613" t="s">
        <v>230</v>
      </c>
      <c r="AK20" s="613" t="s">
        <v>231</v>
      </c>
      <c r="AL20" s="613" t="s">
        <v>372</v>
      </c>
      <c r="AM20" s="613" t="s">
        <v>24</v>
      </c>
      <c r="AN20" s="613" t="s">
        <v>373</v>
      </c>
      <c r="AO20" s="613" t="s">
        <v>42</v>
      </c>
      <c r="AP20" s="613" t="s">
        <v>374</v>
      </c>
      <c r="AQ20" s="613" t="s">
        <v>375</v>
      </c>
      <c r="AR20" s="613" t="s">
        <v>236</v>
      </c>
      <c r="AS20" s="613" t="s">
        <v>366</v>
      </c>
      <c r="AT20" s="613" t="s">
        <v>238</v>
      </c>
      <c r="AU20" s="332">
        <f>+AA18*AI20</f>
        <v>0.1</v>
      </c>
      <c r="AV20" s="332">
        <f>+AA18-AU20</f>
        <v>0.15</v>
      </c>
      <c r="AW20" s="844" t="str">
        <f t="shared" si="8"/>
        <v>Bajo</v>
      </c>
      <c r="AX20" s="831"/>
      <c r="AY20" s="640">
        <v>3</v>
      </c>
      <c r="AZ20" s="613"/>
      <c r="BA20" s="613" t="s">
        <v>366</v>
      </c>
      <c r="BB20" s="641">
        <v>44562</v>
      </c>
      <c r="BC20" s="641">
        <v>44926</v>
      </c>
      <c r="BD20" s="613"/>
      <c r="BE20" s="640"/>
      <c r="BF20" s="640"/>
      <c r="BG20" s="640"/>
      <c r="BH20" s="640"/>
      <c r="BI20" s="640"/>
      <c r="BJ20" s="640"/>
      <c r="BK20" s="640"/>
      <c r="BL20" s="640"/>
      <c r="BM20" s="640"/>
      <c r="BN20" s="640"/>
      <c r="BO20" s="640"/>
      <c r="BP20" s="640"/>
      <c r="BQ20" s="640"/>
      <c r="BR20" s="640"/>
      <c r="BS20" s="640"/>
      <c r="BT20" s="640"/>
      <c r="BU20" s="640"/>
      <c r="BV20" s="640"/>
      <c r="BW20" s="640"/>
      <c r="BX20" s="640"/>
    </row>
    <row r="21" spans="1:76" s="63" customFormat="1" ht="409.5">
      <c r="A21" s="831"/>
      <c r="B21" s="815"/>
      <c r="C21" s="815"/>
      <c r="D21" s="815"/>
      <c r="E21" s="815"/>
      <c r="F21" s="851"/>
      <c r="G21" s="834"/>
      <c r="H21" s="815"/>
      <c r="I21" s="834"/>
      <c r="J21" s="815"/>
      <c r="K21" s="815"/>
      <c r="L21" s="818" t="str">
        <f t="shared" si="2"/>
        <v/>
      </c>
      <c r="M21" s="815"/>
      <c r="N21" s="818" t="str">
        <f t="shared" si="3"/>
        <v/>
      </c>
      <c r="O21" s="815"/>
      <c r="P21" s="818" t="str">
        <f t="shared" si="4"/>
        <v/>
      </c>
      <c r="Q21" s="815"/>
      <c r="R21" s="818" t="str">
        <f t="shared" si="5"/>
        <v/>
      </c>
      <c r="S21" s="831"/>
      <c r="T21" s="831"/>
      <c r="U21" s="831">
        <f t="shared" si="6"/>
        <v>0</v>
      </c>
      <c r="V21" s="847" t="str">
        <f t="shared" si="9"/>
        <v>Muy alta</v>
      </c>
      <c r="W21" s="824"/>
      <c r="X21" s="844" t="str">
        <f t="shared" si="10"/>
        <v/>
      </c>
      <c r="Y21" s="824" t="s">
        <v>331</v>
      </c>
      <c r="Z21" s="821"/>
      <c r="AA21" s="841" t="str">
        <f t="shared" si="11"/>
        <v/>
      </c>
      <c r="AB21" s="818"/>
      <c r="AC21" s="632" t="s">
        <v>376</v>
      </c>
      <c r="AD21" s="613" t="s">
        <v>377</v>
      </c>
      <c r="AE21" s="613" t="s">
        <v>57</v>
      </c>
      <c r="AF21" s="616">
        <f t="shared" si="12"/>
        <v>0.25</v>
      </c>
      <c r="AG21" s="613" t="s">
        <v>229</v>
      </c>
      <c r="AH21" s="616">
        <f t="shared" si="13"/>
        <v>0.15</v>
      </c>
      <c r="AI21" s="616">
        <f t="shared" si="14"/>
        <v>0.4</v>
      </c>
      <c r="AJ21" s="613" t="s">
        <v>230</v>
      </c>
      <c r="AK21" s="613" t="s">
        <v>231</v>
      </c>
      <c r="AL21" s="613" t="s">
        <v>378</v>
      </c>
      <c r="AM21" s="613" t="s">
        <v>24</v>
      </c>
      <c r="AN21" s="613" t="s">
        <v>379</v>
      </c>
      <c r="AO21" s="613" t="s">
        <v>25</v>
      </c>
      <c r="AP21" s="613" t="s">
        <v>380</v>
      </c>
      <c r="AQ21" s="613" t="s">
        <v>381</v>
      </c>
      <c r="AR21" s="613" t="s">
        <v>236</v>
      </c>
      <c r="AS21" s="613" t="s">
        <v>382</v>
      </c>
      <c r="AT21" s="613" t="s">
        <v>238</v>
      </c>
      <c r="AU21" s="332">
        <f>+AA18*AI21</f>
        <v>0.1</v>
      </c>
      <c r="AV21" s="332">
        <f>+AA18-AU21</f>
        <v>0.15</v>
      </c>
      <c r="AW21" s="844" t="str">
        <f t="shared" si="8"/>
        <v>Bajo</v>
      </c>
      <c r="AX21" s="831"/>
      <c r="AY21" s="640">
        <v>4</v>
      </c>
      <c r="AZ21" s="613"/>
      <c r="BA21" s="613" t="s">
        <v>382</v>
      </c>
      <c r="BB21" s="641">
        <v>44562</v>
      </c>
      <c r="BC21" s="641">
        <v>44926</v>
      </c>
      <c r="BD21" s="613"/>
      <c r="BE21" s="640"/>
      <c r="BF21" s="640"/>
      <c r="BG21" s="640"/>
      <c r="BH21" s="640"/>
      <c r="BI21" s="640"/>
      <c r="BJ21" s="640"/>
      <c r="BK21" s="640"/>
      <c r="BL21" s="640"/>
      <c r="BM21" s="640"/>
      <c r="BN21" s="640"/>
      <c r="BO21" s="640"/>
      <c r="BP21" s="640"/>
      <c r="BQ21" s="640"/>
      <c r="BR21" s="640"/>
      <c r="BS21" s="640"/>
      <c r="BT21" s="640"/>
      <c r="BU21" s="640"/>
      <c r="BV21" s="640"/>
      <c r="BW21" s="640"/>
      <c r="BX21" s="640"/>
    </row>
    <row r="22" spans="1:76" s="63" customFormat="1" ht="289.89999999999998" customHeight="1" thickBot="1">
      <c r="A22" s="827"/>
      <c r="B22" s="816"/>
      <c r="C22" s="816"/>
      <c r="D22" s="816"/>
      <c r="E22" s="816"/>
      <c r="F22" s="837"/>
      <c r="G22" s="835"/>
      <c r="H22" s="816"/>
      <c r="I22" s="835"/>
      <c r="J22" s="816"/>
      <c r="K22" s="816"/>
      <c r="L22" s="819" t="str">
        <f t="shared" si="2"/>
        <v/>
      </c>
      <c r="M22" s="816"/>
      <c r="N22" s="819" t="str">
        <f t="shared" si="3"/>
        <v/>
      </c>
      <c r="O22" s="816"/>
      <c r="P22" s="819" t="str">
        <f t="shared" si="4"/>
        <v/>
      </c>
      <c r="Q22" s="816"/>
      <c r="R22" s="819" t="str">
        <f t="shared" si="5"/>
        <v/>
      </c>
      <c r="S22" s="827"/>
      <c r="T22" s="827"/>
      <c r="U22" s="827">
        <f t="shared" si="6"/>
        <v>0</v>
      </c>
      <c r="V22" s="848" t="str">
        <f t="shared" si="9"/>
        <v>Muy alta</v>
      </c>
      <c r="W22" s="825"/>
      <c r="X22" s="845" t="str">
        <f t="shared" si="10"/>
        <v/>
      </c>
      <c r="Y22" s="825" t="s">
        <v>331</v>
      </c>
      <c r="Z22" s="822"/>
      <c r="AA22" s="842" t="str">
        <f t="shared" si="11"/>
        <v/>
      </c>
      <c r="AB22" s="819"/>
      <c r="AC22" s="627" t="s">
        <v>383</v>
      </c>
      <c r="AD22" s="614" t="s">
        <v>384</v>
      </c>
      <c r="AE22" s="614" t="s">
        <v>57</v>
      </c>
      <c r="AF22" s="617">
        <f t="shared" si="12"/>
        <v>0.25</v>
      </c>
      <c r="AG22" s="614" t="s">
        <v>229</v>
      </c>
      <c r="AH22" s="617">
        <f t="shared" si="13"/>
        <v>0.15</v>
      </c>
      <c r="AI22" s="617">
        <f t="shared" si="14"/>
        <v>0.4</v>
      </c>
      <c r="AJ22" s="614" t="s">
        <v>230</v>
      </c>
      <c r="AK22" s="614" t="s">
        <v>231</v>
      </c>
      <c r="AL22" s="614" t="s">
        <v>385</v>
      </c>
      <c r="AM22" s="614" t="s">
        <v>24</v>
      </c>
      <c r="AN22" s="614" t="s">
        <v>355</v>
      </c>
      <c r="AO22" s="614" t="s">
        <v>25</v>
      </c>
      <c r="AP22" s="614" t="s">
        <v>99</v>
      </c>
      <c r="AQ22" s="614" t="s">
        <v>386</v>
      </c>
      <c r="AR22" s="614" t="s">
        <v>387</v>
      </c>
      <c r="AS22" s="614" t="s">
        <v>368</v>
      </c>
      <c r="AT22" s="614" t="s">
        <v>238</v>
      </c>
      <c r="AU22" s="648">
        <f>+AA18*AI22</f>
        <v>0.1</v>
      </c>
      <c r="AV22" s="648">
        <f>+AA18-AU22</f>
        <v>0.15</v>
      </c>
      <c r="AW22" s="845" t="str">
        <f t="shared" si="8"/>
        <v>Bajo</v>
      </c>
      <c r="AX22" s="827"/>
      <c r="AY22" s="638">
        <v>5</v>
      </c>
      <c r="AZ22" s="614"/>
      <c r="BA22" s="614" t="s">
        <v>368</v>
      </c>
      <c r="BB22" s="642">
        <v>44562</v>
      </c>
      <c r="BC22" s="642">
        <v>44926</v>
      </c>
      <c r="BD22" s="614"/>
      <c r="BE22" s="638"/>
      <c r="BF22" s="638"/>
      <c r="BG22" s="638"/>
      <c r="BH22" s="638"/>
      <c r="BI22" s="638"/>
      <c r="BJ22" s="638"/>
      <c r="BK22" s="638"/>
      <c r="BL22" s="638"/>
      <c r="BM22" s="638"/>
      <c r="BN22" s="638"/>
      <c r="BO22" s="638"/>
      <c r="BP22" s="638"/>
      <c r="BQ22" s="638"/>
      <c r="BR22" s="638"/>
      <c r="BS22" s="638"/>
      <c r="BT22" s="638"/>
      <c r="BU22" s="638"/>
      <c r="BV22" s="638"/>
      <c r="BW22" s="638"/>
      <c r="BX22" s="638"/>
    </row>
    <row r="23" spans="1:76" s="63" customFormat="1" ht="386.45" customHeight="1">
      <c r="A23" s="826" t="s">
        <v>51</v>
      </c>
      <c r="B23" s="814" t="s">
        <v>94</v>
      </c>
      <c r="C23" s="814" t="s">
        <v>58</v>
      </c>
      <c r="D23" s="814" t="s">
        <v>79</v>
      </c>
      <c r="E23" s="814" t="s">
        <v>80</v>
      </c>
      <c r="F23" s="836" t="s">
        <v>388</v>
      </c>
      <c r="G23" s="833" t="s">
        <v>389</v>
      </c>
      <c r="H23" s="814" t="s">
        <v>390</v>
      </c>
      <c r="I23" s="833" t="s">
        <v>391</v>
      </c>
      <c r="J23" s="814" t="s">
        <v>66</v>
      </c>
      <c r="K23" s="814">
        <v>2</v>
      </c>
      <c r="L23" s="817">
        <f t="shared" si="2"/>
        <v>0.16666666666666666</v>
      </c>
      <c r="M23" s="814" t="s">
        <v>30</v>
      </c>
      <c r="N23" s="817">
        <f t="shared" si="3"/>
        <v>0.2</v>
      </c>
      <c r="O23" s="814" t="s">
        <v>48</v>
      </c>
      <c r="P23" s="817">
        <f t="shared" si="4"/>
        <v>0.4</v>
      </c>
      <c r="Q23" s="814" t="s">
        <v>73</v>
      </c>
      <c r="R23" s="817">
        <f t="shared" si="5"/>
        <v>0</v>
      </c>
      <c r="S23" s="826" t="s">
        <v>60</v>
      </c>
      <c r="T23" s="826" t="s">
        <v>73</v>
      </c>
      <c r="U23" s="826">
        <f t="shared" si="6"/>
        <v>0.4</v>
      </c>
      <c r="V23" s="846" t="str">
        <f t="shared" si="9"/>
        <v>Muy baja</v>
      </c>
      <c r="W23" s="823">
        <v>0.2</v>
      </c>
      <c r="X23" s="843" t="str">
        <f t="shared" si="10"/>
        <v>Menor</v>
      </c>
      <c r="Y23" s="823">
        <f>+IFERROR(VLOOKUP(X23,formulas!$H$1:$I$6,2,FALSE),"")</f>
        <v>0.4</v>
      </c>
      <c r="Z23" s="820" t="str">
        <f>+IFERROR(VLOOKUP(V23&amp;X23,formulas!$C$2:$D$26,2,FALSE),"")</f>
        <v>Bajo</v>
      </c>
      <c r="AA23" s="840">
        <f t="shared" si="11"/>
        <v>0.25</v>
      </c>
      <c r="AB23" s="817" t="s">
        <v>392</v>
      </c>
      <c r="AC23" s="628" t="s">
        <v>393</v>
      </c>
      <c r="AD23" s="628" t="s">
        <v>394</v>
      </c>
      <c r="AE23" s="612" t="s">
        <v>57</v>
      </c>
      <c r="AF23" s="615">
        <f t="shared" si="12"/>
        <v>0.25</v>
      </c>
      <c r="AG23" s="612" t="s">
        <v>229</v>
      </c>
      <c r="AH23" s="615">
        <f t="shared" ref="AH23:AH29" si="15">IF(AG23="Manual",15%,IF(AG23="Automático",25%,""))</f>
        <v>0.15</v>
      </c>
      <c r="AI23" s="615">
        <f t="shared" si="14"/>
        <v>0.4</v>
      </c>
      <c r="AJ23" s="612" t="s">
        <v>230</v>
      </c>
      <c r="AK23" s="612" t="s">
        <v>231</v>
      </c>
      <c r="AL23" s="612" t="s">
        <v>395</v>
      </c>
      <c r="AM23" s="612" t="s">
        <v>24</v>
      </c>
      <c r="AN23" s="612" t="s">
        <v>396</v>
      </c>
      <c r="AO23" s="612" t="s">
        <v>25</v>
      </c>
      <c r="AP23" s="612" t="s">
        <v>66</v>
      </c>
      <c r="AQ23" s="612" t="s">
        <v>397</v>
      </c>
      <c r="AR23" s="612" t="s">
        <v>236</v>
      </c>
      <c r="AS23" s="612" t="s">
        <v>398</v>
      </c>
      <c r="AT23" s="612" t="s">
        <v>238</v>
      </c>
      <c r="AU23" s="690">
        <f>+AA23*AI23</f>
        <v>0.1</v>
      </c>
      <c r="AV23" s="634">
        <f>+AA23-AU23</f>
        <v>0.15</v>
      </c>
      <c r="AW23" s="843" t="str">
        <f t="shared" si="8"/>
        <v>Moderado</v>
      </c>
      <c r="AX23" s="826" t="s">
        <v>59</v>
      </c>
      <c r="AY23" s="208">
        <v>1</v>
      </c>
      <c r="AZ23" s="612" t="s">
        <v>399</v>
      </c>
      <c r="BA23" s="612" t="s">
        <v>281</v>
      </c>
      <c r="BB23" s="358">
        <v>44562</v>
      </c>
      <c r="BC23" s="358">
        <v>44926</v>
      </c>
      <c r="BD23" s="612" t="s">
        <v>400</v>
      </c>
      <c r="BE23" s="637"/>
      <c r="BF23" s="637"/>
      <c r="BG23" s="637"/>
      <c r="BH23" s="637"/>
      <c r="BI23" s="637"/>
      <c r="BJ23" s="637"/>
      <c r="BK23" s="637"/>
      <c r="BL23" s="637"/>
      <c r="BM23" s="637"/>
      <c r="BN23" s="637"/>
      <c r="BO23" s="637"/>
      <c r="BP23" s="637"/>
      <c r="BQ23" s="637"/>
      <c r="BR23" s="637"/>
      <c r="BS23" s="637"/>
      <c r="BT23" s="637"/>
      <c r="BU23" s="637"/>
      <c r="BV23" s="637"/>
      <c r="BW23" s="637"/>
      <c r="BX23" s="637"/>
    </row>
    <row r="24" spans="1:76" s="63" customFormat="1" ht="386.45" customHeight="1" thickBot="1">
      <c r="A24" s="827"/>
      <c r="B24" s="816"/>
      <c r="C24" s="816"/>
      <c r="D24" s="816"/>
      <c r="E24" s="816"/>
      <c r="F24" s="837"/>
      <c r="G24" s="835"/>
      <c r="H24" s="816"/>
      <c r="I24" s="835"/>
      <c r="J24" s="816"/>
      <c r="K24" s="816"/>
      <c r="L24" s="819" t="str">
        <f t="shared" si="2"/>
        <v/>
      </c>
      <c r="M24" s="816"/>
      <c r="N24" s="819" t="str">
        <f t="shared" si="3"/>
        <v/>
      </c>
      <c r="O24" s="816"/>
      <c r="P24" s="819" t="str">
        <f t="shared" si="4"/>
        <v/>
      </c>
      <c r="Q24" s="816"/>
      <c r="R24" s="819" t="str">
        <f t="shared" si="5"/>
        <v/>
      </c>
      <c r="S24" s="827"/>
      <c r="T24" s="827"/>
      <c r="U24" s="827">
        <f t="shared" si="6"/>
        <v>0</v>
      </c>
      <c r="V24" s="848" t="str">
        <f t="shared" si="9"/>
        <v>Muy alta</v>
      </c>
      <c r="W24" s="825"/>
      <c r="X24" s="845" t="str">
        <f t="shared" si="10"/>
        <v/>
      </c>
      <c r="Y24" s="825" t="s">
        <v>331</v>
      </c>
      <c r="Z24" s="822"/>
      <c r="AA24" s="842" t="str">
        <f t="shared" si="11"/>
        <v/>
      </c>
      <c r="AB24" s="819"/>
      <c r="AC24" s="629" t="s">
        <v>401</v>
      </c>
      <c r="AD24" s="629" t="s">
        <v>402</v>
      </c>
      <c r="AE24" s="614" t="s">
        <v>57</v>
      </c>
      <c r="AF24" s="617">
        <f t="shared" si="12"/>
        <v>0.25</v>
      </c>
      <c r="AG24" s="614" t="s">
        <v>229</v>
      </c>
      <c r="AH24" s="617">
        <f t="shared" si="15"/>
        <v>0.15</v>
      </c>
      <c r="AI24" s="617">
        <f t="shared" si="14"/>
        <v>0.4</v>
      </c>
      <c r="AJ24" s="614" t="s">
        <v>230</v>
      </c>
      <c r="AK24" s="614" t="s">
        <v>51</v>
      </c>
      <c r="AL24" s="614"/>
      <c r="AM24" s="614" t="s">
        <v>24</v>
      </c>
      <c r="AN24" s="614" t="s">
        <v>403</v>
      </c>
      <c r="AO24" s="614" t="s">
        <v>25</v>
      </c>
      <c r="AP24" s="614" t="s">
        <v>99</v>
      </c>
      <c r="AQ24" s="614" t="s">
        <v>404</v>
      </c>
      <c r="AR24" s="614" t="s">
        <v>236</v>
      </c>
      <c r="AS24" s="614" t="s">
        <v>281</v>
      </c>
      <c r="AT24" s="614" t="s">
        <v>238</v>
      </c>
      <c r="AU24" s="648">
        <f>+AA23*AI24</f>
        <v>0.1</v>
      </c>
      <c r="AV24" s="648">
        <f>+AA23-AU24</f>
        <v>0.15</v>
      </c>
      <c r="AW24" s="845" t="str">
        <f t="shared" si="8"/>
        <v>Bajo</v>
      </c>
      <c r="AX24" s="827"/>
      <c r="AY24" s="638">
        <v>2</v>
      </c>
      <c r="AZ24" s="614" t="s">
        <v>405</v>
      </c>
      <c r="BA24" s="614" t="s">
        <v>281</v>
      </c>
      <c r="BB24" s="642">
        <v>44562</v>
      </c>
      <c r="BC24" s="642">
        <v>44926</v>
      </c>
      <c r="BD24" s="614" t="s">
        <v>406</v>
      </c>
      <c r="BE24" s="638"/>
      <c r="BF24" s="638"/>
      <c r="BG24" s="638"/>
      <c r="BH24" s="638"/>
      <c r="BI24" s="638"/>
      <c r="BJ24" s="638"/>
      <c r="BK24" s="638"/>
      <c r="BL24" s="638"/>
      <c r="BM24" s="638"/>
      <c r="BN24" s="638"/>
      <c r="BO24" s="638"/>
      <c r="BP24" s="638"/>
      <c r="BQ24" s="638"/>
      <c r="BR24" s="638"/>
      <c r="BS24" s="638"/>
      <c r="BT24" s="638"/>
      <c r="BU24" s="638"/>
      <c r="BV24" s="638"/>
      <c r="BW24" s="638"/>
      <c r="BX24" s="638"/>
    </row>
    <row r="25" spans="1:76" s="63" customFormat="1" ht="204.75">
      <c r="A25" s="826" t="s">
        <v>51</v>
      </c>
      <c r="B25" s="814" t="s">
        <v>104</v>
      </c>
      <c r="C25" s="814" t="s">
        <v>58</v>
      </c>
      <c r="D25" s="814" t="s">
        <v>79</v>
      </c>
      <c r="E25" s="814" t="s">
        <v>80</v>
      </c>
      <c r="F25" s="828" t="s">
        <v>407</v>
      </c>
      <c r="G25" s="833" t="s">
        <v>408</v>
      </c>
      <c r="H25" s="814" t="s">
        <v>409</v>
      </c>
      <c r="I25" s="814" t="s">
        <v>410</v>
      </c>
      <c r="J25" s="814" t="s">
        <v>33</v>
      </c>
      <c r="K25" s="814">
        <v>72</v>
      </c>
      <c r="L25" s="817">
        <f t="shared" si="2"/>
        <v>0.2</v>
      </c>
      <c r="M25" s="814" t="s">
        <v>73</v>
      </c>
      <c r="N25" s="817">
        <f t="shared" si="3"/>
        <v>0</v>
      </c>
      <c r="O25" s="814" t="s">
        <v>64</v>
      </c>
      <c r="P25" s="817">
        <f t="shared" si="4"/>
        <v>0.6</v>
      </c>
      <c r="Q25" s="814" t="s">
        <v>73</v>
      </c>
      <c r="R25" s="817">
        <f t="shared" si="5"/>
        <v>0</v>
      </c>
      <c r="S25" s="826" t="s">
        <v>72</v>
      </c>
      <c r="T25" s="826" t="s">
        <v>84</v>
      </c>
      <c r="U25" s="826">
        <f t="shared" si="6"/>
        <v>0.6</v>
      </c>
      <c r="V25" s="846" t="str">
        <f t="shared" si="9"/>
        <v>Muy baja</v>
      </c>
      <c r="W25" s="823">
        <v>0.2</v>
      </c>
      <c r="X25" s="843" t="str">
        <f t="shared" si="10"/>
        <v>Moderado</v>
      </c>
      <c r="Y25" s="823">
        <f>+IFERROR(VLOOKUP(X25,formulas!$H$1:$I$6,2,FALSE),"")</f>
        <v>0.6</v>
      </c>
      <c r="Z25" s="820" t="str">
        <f>+IFERROR(VLOOKUP(V25&amp;X25,formulas!$C$2:$D$26,2,FALSE),"")</f>
        <v>Moderado</v>
      </c>
      <c r="AA25" s="840">
        <f t="shared" si="11"/>
        <v>0.5</v>
      </c>
      <c r="AB25" s="814" t="s">
        <v>411</v>
      </c>
      <c r="AC25" s="612" t="s">
        <v>412</v>
      </c>
      <c r="AD25" s="612" t="s">
        <v>413</v>
      </c>
      <c r="AE25" s="612" t="s">
        <v>39</v>
      </c>
      <c r="AF25" s="615">
        <f t="shared" si="12"/>
        <v>0.15</v>
      </c>
      <c r="AG25" s="612" t="s">
        <v>229</v>
      </c>
      <c r="AH25" s="615">
        <f t="shared" si="15"/>
        <v>0.15</v>
      </c>
      <c r="AI25" s="615">
        <f t="shared" si="14"/>
        <v>0.3</v>
      </c>
      <c r="AJ25" s="612" t="s">
        <v>230</v>
      </c>
      <c r="AK25" s="612" t="s">
        <v>51</v>
      </c>
      <c r="AL25" s="612"/>
      <c r="AM25" s="612" t="s">
        <v>24</v>
      </c>
      <c r="AN25" s="612" t="s">
        <v>414</v>
      </c>
      <c r="AO25" s="612" t="s">
        <v>42</v>
      </c>
      <c r="AP25" s="612" t="s">
        <v>415</v>
      </c>
      <c r="AQ25" s="612" t="s">
        <v>416</v>
      </c>
      <c r="AR25" s="612" t="s">
        <v>236</v>
      </c>
      <c r="AS25" s="612" t="s">
        <v>417</v>
      </c>
      <c r="AT25" s="612" t="s">
        <v>238</v>
      </c>
      <c r="AU25" s="690">
        <f>+AA25*AI25</f>
        <v>0.15</v>
      </c>
      <c r="AV25" s="634">
        <f>+AA25-AU25</f>
        <v>0.35</v>
      </c>
      <c r="AW25" s="843" t="str">
        <f t="shared" si="8"/>
        <v>Moderado</v>
      </c>
      <c r="AX25" s="826" t="s">
        <v>59</v>
      </c>
      <c r="AY25" s="208">
        <v>1</v>
      </c>
      <c r="AZ25" s="612" t="s">
        <v>418</v>
      </c>
      <c r="BA25" s="612" t="s">
        <v>419</v>
      </c>
      <c r="BB25" s="358">
        <v>44562</v>
      </c>
      <c r="BC25" s="358">
        <v>44925</v>
      </c>
      <c r="BD25" s="612" t="s">
        <v>420</v>
      </c>
      <c r="BE25" s="637"/>
      <c r="BF25" s="637"/>
      <c r="BG25" s="637"/>
      <c r="BH25" s="637"/>
      <c r="BI25" s="637"/>
      <c r="BJ25" s="637"/>
      <c r="BK25" s="637"/>
      <c r="BL25" s="637"/>
      <c r="BM25" s="637"/>
      <c r="BN25" s="637"/>
      <c r="BO25" s="637"/>
      <c r="BP25" s="637"/>
      <c r="BQ25" s="637"/>
      <c r="BR25" s="637"/>
      <c r="BS25" s="637"/>
      <c r="BT25" s="637"/>
      <c r="BU25" s="637"/>
      <c r="BV25" s="637"/>
      <c r="BW25" s="637"/>
      <c r="BX25" s="637"/>
    </row>
    <row r="26" spans="1:76" s="63" customFormat="1" ht="293.25" customHeight="1">
      <c r="A26" s="831"/>
      <c r="B26" s="815"/>
      <c r="C26" s="815"/>
      <c r="D26" s="815"/>
      <c r="E26" s="815"/>
      <c r="F26" s="832"/>
      <c r="G26" s="834"/>
      <c r="H26" s="815"/>
      <c r="I26" s="815"/>
      <c r="J26" s="815"/>
      <c r="K26" s="815"/>
      <c r="L26" s="818" t="str">
        <f t="shared" si="2"/>
        <v/>
      </c>
      <c r="M26" s="815"/>
      <c r="N26" s="818" t="str">
        <f t="shared" si="3"/>
        <v/>
      </c>
      <c r="O26" s="815"/>
      <c r="P26" s="818" t="str">
        <f t="shared" si="4"/>
        <v/>
      </c>
      <c r="Q26" s="815"/>
      <c r="R26" s="818" t="str">
        <f t="shared" si="5"/>
        <v/>
      </c>
      <c r="S26" s="831"/>
      <c r="T26" s="831"/>
      <c r="U26" s="831">
        <f t="shared" si="6"/>
        <v>0</v>
      </c>
      <c r="V26" s="847" t="str">
        <f t="shared" si="9"/>
        <v>Muy alta</v>
      </c>
      <c r="W26" s="824"/>
      <c r="X26" s="844" t="str">
        <f t="shared" si="10"/>
        <v/>
      </c>
      <c r="Y26" s="824" t="s">
        <v>331</v>
      </c>
      <c r="Z26" s="821"/>
      <c r="AA26" s="841" t="str">
        <f t="shared" si="11"/>
        <v/>
      </c>
      <c r="AB26" s="815"/>
      <c r="AC26" s="613" t="s">
        <v>421</v>
      </c>
      <c r="AD26" s="613" t="s">
        <v>422</v>
      </c>
      <c r="AE26" s="613" t="s">
        <v>39</v>
      </c>
      <c r="AF26" s="616">
        <f t="shared" si="12"/>
        <v>0.15</v>
      </c>
      <c r="AG26" s="613" t="s">
        <v>229</v>
      </c>
      <c r="AH26" s="616">
        <f t="shared" si="15"/>
        <v>0.15</v>
      </c>
      <c r="AI26" s="616">
        <f t="shared" si="14"/>
        <v>0.3</v>
      </c>
      <c r="AJ26" s="613" t="s">
        <v>230</v>
      </c>
      <c r="AK26" s="613" t="s">
        <v>231</v>
      </c>
      <c r="AL26" s="613" t="s">
        <v>423</v>
      </c>
      <c r="AM26" s="613" t="s">
        <v>41</v>
      </c>
      <c r="AN26" s="613" t="s">
        <v>424</v>
      </c>
      <c r="AO26" s="613" t="s">
        <v>42</v>
      </c>
      <c r="AP26" s="613" t="s">
        <v>425</v>
      </c>
      <c r="AQ26" s="613" t="s">
        <v>416</v>
      </c>
      <c r="AR26" s="613" t="s">
        <v>236</v>
      </c>
      <c r="AS26" s="613" t="s">
        <v>417</v>
      </c>
      <c r="AT26" s="613" t="s">
        <v>238</v>
      </c>
      <c r="AU26" s="885">
        <f>+AA25*AI26</f>
        <v>0.15</v>
      </c>
      <c r="AV26" s="332">
        <f>+AA25-AU26</f>
        <v>0.35</v>
      </c>
      <c r="AW26" s="844" t="str">
        <f t="shared" si="8"/>
        <v>Moderado</v>
      </c>
      <c r="AX26" s="831"/>
      <c r="AY26" s="878">
        <v>2</v>
      </c>
      <c r="AZ26" s="815" t="s">
        <v>426</v>
      </c>
      <c r="BA26" s="859" t="s">
        <v>281</v>
      </c>
      <c r="BB26" s="866">
        <v>44562</v>
      </c>
      <c r="BC26" s="866">
        <v>44925</v>
      </c>
      <c r="BD26" s="815" t="s">
        <v>427</v>
      </c>
      <c r="BE26" s="640"/>
      <c r="BF26" s="640"/>
      <c r="BG26" s="640"/>
      <c r="BH26" s="640"/>
      <c r="BI26" s="640"/>
      <c r="BJ26" s="640"/>
      <c r="BK26" s="640"/>
      <c r="BL26" s="640"/>
      <c r="BM26" s="640"/>
      <c r="BN26" s="640"/>
      <c r="BO26" s="640"/>
      <c r="BP26" s="640"/>
      <c r="BQ26" s="640"/>
      <c r="BR26" s="640"/>
      <c r="BS26" s="640"/>
      <c r="BT26" s="640"/>
      <c r="BU26" s="640"/>
      <c r="BV26" s="640"/>
      <c r="BW26" s="640"/>
      <c r="BX26" s="640"/>
    </row>
    <row r="27" spans="1:76" s="63" customFormat="1" ht="409.6" thickBot="1">
      <c r="A27" s="827"/>
      <c r="B27" s="816"/>
      <c r="C27" s="816"/>
      <c r="D27" s="816"/>
      <c r="E27" s="816"/>
      <c r="F27" s="829"/>
      <c r="G27" s="835"/>
      <c r="H27" s="816"/>
      <c r="I27" s="816"/>
      <c r="J27" s="816"/>
      <c r="K27" s="816"/>
      <c r="L27" s="819" t="str">
        <f t="shared" si="2"/>
        <v/>
      </c>
      <c r="M27" s="816"/>
      <c r="N27" s="819" t="str">
        <f t="shared" si="3"/>
        <v/>
      </c>
      <c r="O27" s="816"/>
      <c r="P27" s="819" t="str">
        <f t="shared" si="4"/>
        <v/>
      </c>
      <c r="Q27" s="816"/>
      <c r="R27" s="819" t="str">
        <f t="shared" si="5"/>
        <v/>
      </c>
      <c r="S27" s="827"/>
      <c r="T27" s="827"/>
      <c r="U27" s="827">
        <f t="shared" si="6"/>
        <v>0</v>
      </c>
      <c r="V27" s="848" t="str">
        <f t="shared" si="9"/>
        <v>Muy alta</v>
      </c>
      <c r="W27" s="825"/>
      <c r="X27" s="845" t="str">
        <f t="shared" si="10"/>
        <v/>
      </c>
      <c r="Y27" s="825" t="s">
        <v>331</v>
      </c>
      <c r="Z27" s="822"/>
      <c r="AA27" s="842" t="str">
        <f t="shared" si="11"/>
        <v/>
      </c>
      <c r="AB27" s="816"/>
      <c r="AC27" s="614" t="s">
        <v>428</v>
      </c>
      <c r="AD27" s="614" t="s">
        <v>429</v>
      </c>
      <c r="AE27" s="614" t="s">
        <v>57</v>
      </c>
      <c r="AF27" s="617">
        <f t="shared" si="12"/>
        <v>0.25</v>
      </c>
      <c r="AG27" s="614" t="s">
        <v>229</v>
      </c>
      <c r="AH27" s="617">
        <f t="shared" si="15"/>
        <v>0.15</v>
      </c>
      <c r="AI27" s="617">
        <f t="shared" si="14"/>
        <v>0.4</v>
      </c>
      <c r="AJ27" s="614" t="s">
        <v>230</v>
      </c>
      <c r="AK27" s="614" t="s">
        <v>231</v>
      </c>
      <c r="AL27" s="614" t="s">
        <v>430</v>
      </c>
      <c r="AM27" s="614" t="s">
        <v>41</v>
      </c>
      <c r="AN27" s="614" t="s">
        <v>431</v>
      </c>
      <c r="AO27" s="614" t="s">
        <v>25</v>
      </c>
      <c r="AP27" s="614" t="s">
        <v>432</v>
      </c>
      <c r="AQ27" s="614" t="s">
        <v>433</v>
      </c>
      <c r="AR27" s="614" t="s">
        <v>236</v>
      </c>
      <c r="AS27" s="614" t="s">
        <v>434</v>
      </c>
      <c r="AT27" s="614" t="s">
        <v>238</v>
      </c>
      <c r="AU27" s="886"/>
      <c r="AV27" s="648">
        <f>+AA25-AU27</f>
        <v>0.5</v>
      </c>
      <c r="AW27" s="845" t="str">
        <f t="shared" si="8"/>
        <v>Moderado</v>
      </c>
      <c r="AX27" s="827"/>
      <c r="AY27" s="858"/>
      <c r="AZ27" s="816"/>
      <c r="BA27" s="860"/>
      <c r="BB27" s="867"/>
      <c r="BC27" s="867"/>
      <c r="BD27" s="816"/>
      <c r="BE27" s="638"/>
      <c r="BF27" s="638"/>
      <c r="BG27" s="638"/>
      <c r="BH27" s="638"/>
      <c r="BI27" s="638"/>
      <c r="BJ27" s="638"/>
      <c r="BK27" s="638"/>
      <c r="BL27" s="638"/>
      <c r="BM27" s="638"/>
      <c r="BN27" s="638"/>
      <c r="BO27" s="638"/>
      <c r="BP27" s="638"/>
      <c r="BQ27" s="638"/>
      <c r="BR27" s="638"/>
      <c r="BS27" s="638"/>
      <c r="BT27" s="638"/>
      <c r="BU27" s="638"/>
      <c r="BV27" s="638"/>
      <c r="BW27" s="638"/>
      <c r="BX27" s="638"/>
    </row>
    <row r="28" spans="1:76" s="63" customFormat="1" ht="153" customHeight="1">
      <c r="A28" s="855" t="s">
        <v>51</v>
      </c>
      <c r="B28" s="857" t="s">
        <v>108</v>
      </c>
      <c r="C28" s="857" t="s">
        <v>58</v>
      </c>
      <c r="D28" s="857" t="s">
        <v>79</v>
      </c>
      <c r="E28" s="814" t="s">
        <v>80</v>
      </c>
      <c r="F28" s="828" t="s">
        <v>435</v>
      </c>
      <c r="G28" s="814" t="s">
        <v>436</v>
      </c>
      <c r="H28" s="857" t="s">
        <v>437</v>
      </c>
      <c r="I28" s="857" t="s">
        <v>438</v>
      </c>
      <c r="J28" s="857" t="s">
        <v>99</v>
      </c>
      <c r="K28" s="857">
        <v>1</v>
      </c>
      <c r="L28" s="817">
        <f t="shared" si="2"/>
        <v>1</v>
      </c>
      <c r="M28" s="814" t="s">
        <v>30</v>
      </c>
      <c r="N28" s="817">
        <f t="shared" si="3"/>
        <v>0.2</v>
      </c>
      <c r="O28" s="814" t="s">
        <v>64</v>
      </c>
      <c r="P28" s="817">
        <f t="shared" si="4"/>
        <v>0.6</v>
      </c>
      <c r="Q28" s="857" t="s">
        <v>73</v>
      </c>
      <c r="R28" s="817">
        <f t="shared" si="5"/>
        <v>0</v>
      </c>
      <c r="S28" s="876" t="s">
        <v>60</v>
      </c>
      <c r="T28" s="876" t="s">
        <v>28</v>
      </c>
      <c r="U28" s="826">
        <f t="shared" si="6"/>
        <v>0.6</v>
      </c>
      <c r="V28" s="883" t="str">
        <f t="shared" si="9"/>
        <v>Muy alta</v>
      </c>
      <c r="W28" s="881">
        <v>1</v>
      </c>
      <c r="X28" s="843" t="str">
        <f t="shared" si="10"/>
        <v>Moderado</v>
      </c>
      <c r="Y28" s="881">
        <f>+IFERROR(VLOOKUP(X28,formulas!$H$1:$I$6,2,FALSE),"")</f>
        <v>0.6</v>
      </c>
      <c r="Z28" s="820" t="str">
        <f>+IFERROR(VLOOKUP(V28&amp;X28,formulas!$C$2:$D$26,2,FALSE),"")</f>
        <v>Alto</v>
      </c>
      <c r="AA28" s="840">
        <f t="shared" si="11"/>
        <v>0.75</v>
      </c>
      <c r="AB28" s="857"/>
      <c r="AC28" s="737" t="s">
        <v>439</v>
      </c>
      <c r="AD28" s="738" t="s">
        <v>440</v>
      </c>
      <c r="AE28" s="637" t="s">
        <v>57</v>
      </c>
      <c r="AF28" s="615">
        <f t="shared" si="12"/>
        <v>0.25</v>
      </c>
      <c r="AG28" s="718" t="s">
        <v>229</v>
      </c>
      <c r="AH28" s="615">
        <f t="shared" si="15"/>
        <v>0.15</v>
      </c>
      <c r="AI28" s="615">
        <f t="shared" si="14"/>
        <v>0.4</v>
      </c>
      <c r="AJ28" s="637" t="s">
        <v>230</v>
      </c>
      <c r="AK28" s="612" t="s">
        <v>231</v>
      </c>
      <c r="AL28" s="637" t="s">
        <v>441</v>
      </c>
      <c r="AM28" s="612" t="s">
        <v>24</v>
      </c>
      <c r="AN28" s="612" t="s">
        <v>442</v>
      </c>
      <c r="AO28" s="612" t="s">
        <v>42</v>
      </c>
      <c r="AP28" s="612" t="s">
        <v>443</v>
      </c>
      <c r="AQ28" s="612" t="s">
        <v>444</v>
      </c>
      <c r="AR28" s="612" t="s">
        <v>236</v>
      </c>
      <c r="AS28" s="612" t="s">
        <v>445</v>
      </c>
      <c r="AT28" s="637" t="s">
        <v>238</v>
      </c>
      <c r="AU28" s="645">
        <f>+AA28*AI28</f>
        <v>0.30000000000000004</v>
      </c>
      <c r="AV28" s="690">
        <f>+AA28-AU28</f>
        <v>0.44999999999999996</v>
      </c>
      <c r="AW28" s="843" t="str">
        <f t="shared" si="8"/>
        <v>Moderado</v>
      </c>
      <c r="AX28" s="826" t="s">
        <v>59</v>
      </c>
      <c r="AY28" s="637">
        <v>1</v>
      </c>
      <c r="AZ28" s="172" t="s">
        <v>446</v>
      </c>
      <c r="BA28" s="612" t="s">
        <v>445</v>
      </c>
      <c r="BB28" s="358">
        <v>44562</v>
      </c>
      <c r="BC28" s="358">
        <v>44926</v>
      </c>
      <c r="BD28" s="612" t="s">
        <v>447</v>
      </c>
      <c r="BE28" s="637"/>
      <c r="BF28" s="637"/>
      <c r="BG28" s="637"/>
      <c r="BH28" s="637"/>
      <c r="BI28" s="637"/>
      <c r="BJ28" s="637"/>
      <c r="BK28" s="637"/>
      <c r="BL28" s="637"/>
      <c r="BM28" s="637"/>
      <c r="BN28" s="637"/>
      <c r="BO28" s="637"/>
      <c r="BP28" s="637"/>
      <c r="BQ28" s="637"/>
      <c r="BR28" s="637"/>
      <c r="BS28" s="637"/>
      <c r="BT28" s="637"/>
      <c r="BU28" s="637"/>
      <c r="BV28" s="637"/>
      <c r="BW28" s="637"/>
      <c r="BX28" s="637"/>
    </row>
    <row r="29" spans="1:76" s="63" customFormat="1" ht="296.45" customHeight="1" thickBot="1">
      <c r="A29" s="856"/>
      <c r="B29" s="858"/>
      <c r="C29" s="858"/>
      <c r="D29" s="858"/>
      <c r="E29" s="816"/>
      <c r="F29" s="829"/>
      <c r="G29" s="816"/>
      <c r="H29" s="858"/>
      <c r="I29" s="858"/>
      <c r="J29" s="858"/>
      <c r="K29" s="858"/>
      <c r="L29" s="819"/>
      <c r="M29" s="816"/>
      <c r="N29" s="819"/>
      <c r="O29" s="816"/>
      <c r="P29" s="819"/>
      <c r="Q29" s="858"/>
      <c r="R29" s="819"/>
      <c r="S29" s="877"/>
      <c r="T29" s="877"/>
      <c r="U29" s="827"/>
      <c r="V29" s="884" t="str">
        <f t="shared" si="9"/>
        <v>Muy baja</v>
      </c>
      <c r="W29" s="882"/>
      <c r="X29" s="845" t="str">
        <f t="shared" si="10"/>
        <v/>
      </c>
      <c r="Y29" s="882" t="s">
        <v>331</v>
      </c>
      <c r="Z29" s="822"/>
      <c r="AA29" s="842" t="str">
        <f t="shared" si="11"/>
        <v/>
      </c>
      <c r="AB29" s="858"/>
      <c r="AC29" s="726" t="s">
        <v>448</v>
      </c>
      <c r="AD29" s="726" t="s">
        <v>449</v>
      </c>
      <c r="AE29" s="638" t="s">
        <v>57</v>
      </c>
      <c r="AF29" s="617">
        <f t="shared" si="12"/>
        <v>0.25</v>
      </c>
      <c r="AG29" s="719" t="s">
        <v>229</v>
      </c>
      <c r="AH29" s="617">
        <f t="shared" si="15"/>
        <v>0.15</v>
      </c>
      <c r="AI29" s="617">
        <f t="shared" si="14"/>
        <v>0.4</v>
      </c>
      <c r="AJ29" s="638" t="s">
        <v>230</v>
      </c>
      <c r="AK29" s="614" t="s">
        <v>231</v>
      </c>
      <c r="AL29" s="638" t="s">
        <v>450</v>
      </c>
      <c r="AM29" s="614" t="s">
        <v>24</v>
      </c>
      <c r="AN29" s="638" t="s">
        <v>451</v>
      </c>
      <c r="AO29" s="614" t="s">
        <v>42</v>
      </c>
      <c r="AP29" s="614" t="s">
        <v>443</v>
      </c>
      <c r="AQ29" s="638" t="s">
        <v>452</v>
      </c>
      <c r="AR29" s="614" t="s">
        <v>236</v>
      </c>
      <c r="AS29" s="638" t="s">
        <v>453</v>
      </c>
      <c r="AT29" s="638" t="s">
        <v>238</v>
      </c>
      <c r="AU29" s="646">
        <f>+AA28*AI29</f>
        <v>0.30000000000000004</v>
      </c>
      <c r="AV29" s="648">
        <f>+AA28-AU29</f>
        <v>0.44999999999999996</v>
      </c>
      <c r="AW29" s="845"/>
      <c r="AX29" s="827"/>
      <c r="AY29" s="638">
        <v>2</v>
      </c>
      <c r="AZ29" s="638" t="s">
        <v>454</v>
      </c>
      <c r="BA29" s="638" t="s">
        <v>455</v>
      </c>
      <c r="BB29" s="642">
        <v>44562</v>
      </c>
      <c r="BC29" s="642">
        <v>44926</v>
      </c>
      <c r="BD29" s="638"/>
      <c r="BE29" s="638"/>
      <c r="BF29" s="638"/>
      <c r="BG29" s="638"/>
      <c r="BH29" s="638"/>
      <c r="BI29" s="638"/>
      <c r="BJ29" s="638"/>
      <c r="BK29" s="638"/>
      <c r="BL29" s="638"/>
      <c r="BM29" s="638"/>
      <c r="BN29" s="638"/>
      <c r="BO29" s="638"/>
      <c r="BP29" s="638"/>
      <c r="BQ29" s="638"/>
      <c r="BR29" s="638"/>
      <c r="BS29" s="638"/>
      <c r="BT29" s="638"/>
      <c r="BU29" s="638"/>
      <c r="BV29" s="638"/>
      <c r="BW29" s="638"/>
      <c r="BX29" s="638"/>
    </row>
    <row r="30" spans="1:76" s="257" customFormat="1" ht="205.5" thickBot="1">
      <c r="A30" s="347" t="s">
        <v>51</v>
      </c>
      <c r="B30" s="213" t="s">
        <v>46</v>
      </c>
      <c r="C30" s="213" t="s">
        <v>58</v>
      </c>
      <c r="D30" s="213" t="s">
        <v>79</v>
      </c>
      <c r="E30" s="213" t="s">
        <v>36</v>
      </c>
      <c r="F30" s="579" t="s">
        <v>456</v>
      </c>
      <c r="G30" s="212" t="s">
        <v>457</v>
      </c>
      <c r="H30" s="213" t="s">
        <v>458</v>
      </c>
      <c r="I30" s="213" t="s">
        <v>459</v>
      </c>
      <c r="J30" s="213" t="s">
        <v>66</v>
      </c>
      <c r="K30" s="213">
        <v>0</v>
      </c>
      <c r="L30" s="348">
        <f t="shared" si="2"/>
        <v>0</v>
      </c>
      <c r="M30" s="213" t="s">
        <v>73</v>
      </c>
      <c r="N30" s="254">
        <f t="shared" si="3"/>
        <v>0</v>
      </c>
      <c r="O30" s="213" t="s">
        <v>87</v>
      </c>
      <c r="P30" s="254">
        <f t="shared" si="4"/>
        <v>1</v>
      </c>
      <c r="Q30" s="213" t="s">
        <v>73</v>
      </c>
      <c r="R30" s="254">
        <f t="shared" si="5"/>
        <v>0</v>
      </c>
      <c r="S30" s="347" t="s">
        <v>73</v>
      </c>
      <c r="T30" s="347" t="s">
        <v>73</v>
      </c>
      <c r="U30" s="347">
        <f t="shared" si="6"/>
        <v>1</v>
      </c>
      <c r="V30" s="349" t="str">
        <f t="shared" si="9"/>
        <v>Muy baja</v>
      </c>
      <c r="W30" s="350">
        <v>0.2</v>
      </c>
      <c r="X30" s="351" t="str">
        <f t="shared" si="10"/>
        <v>Catastrófico</v>
      </c>
      <c r="Y30" s="350">
        <f>+IFERROR(VLOOKUP(X30,formulas!$H$1:$I$6,2,FALSE),"")</f>
        <v>1</v>
      </c>
      <c r="Z30" s="351" t="str">
        <f>+IFERROR(VLOOKUP(V30&amp;X30,formulas!$C$2:$D$26,2,FALSE),"")</f>
        <v>Extremo</v>
      </c>
      <c r="AA30" s="352">
        <f t="shared" si="11"/>
        <v>1</v>
      </c>
      <c r="AB30" s="254" t="s">
        <v>460</v>
      </c>
      <c r="AC30" s="213" t="s">
        <v>461</v>
      </c>
      <c r="AD30" s="213" t="s">
        <v>462</v>
      </c>
      <c r="AE30" s="213" t="s">
        <v>39</v>
      </c>
      <c r="AF30" s="254">
        <f>IF(AE30="Preventivo",25%,IF(AE30="Detectivo",15%,IF(AE30="Correctivo",10%,"")))</f>
        <v>0.15</v>
      </c>
      <c r="AG30" s="213" t="s">
        <v>229</v>
      </c>
      <c r="AH30" s="254">
        <f>IF(AG30="Manual",15%,IF(AG30="Automático",25%,""))</f>
        <v>0.15</v>
      </c>
      <c r="AI30" s="254">
        <f>+AH30+AF30</f>
        <v>0.3</v>
      </c>
      <c r="AJ30" s="213" t="s">
        <v>230</v>
      </c>
      <c r="AK30" s="213" t="s">
        <v>231</v>
      </c>
      <c r="AL30" s="213" t="s">
        <v>463</v>
      </c>
      <c r="AM30" s="213" t="s">
        <v>41</v>
      </c>
      <c r="AN30" s="213"/>
      <c r="AO30" s="213" t="s">
        <v>25</v>
      </c>
      <c r="AP30" s="213" t="s">
        <v>89</v>
      </c>
      <c r="AQ30" s="353" t="s">
        <v>464</v>
      </c>
      <c r="AR30" s="213" t="s">
        <v>236</v>
      </c>
      <c r="AS30" s="213" t="s">
        <v>465</v>
      </c>
      <c r="AT30" s="213" t="s">
        <v>238</v>
      </c>
      <c r="AU30" s="205">
        <f>+AA30*AI30</f>
        <v>0.3</v>
      </c>
      <c r="AV30" s="205">
        <f>+AA30-AU30</f>
        <v>0.7</v>
      </c>
      <c r="AW30" s="351" t="str">
        <f t="shared" si="8"/>
        <v>Moderado</v>
      </c>
      <c r="AX30" s="347" t="s">
        <v>59</v>
      </c>
      <c r="AY30" s="354">
        <v>1</v>
      </c>
      <c r="AZ30" s="353" t="s">
        <v>466</v>
      </c>
      <c r="BA30" s="213" t="str">
        <f>+AS30</f>
        <v>Jefe de Control Disciplinario Interno</v>
      </c>
      <c r="BB30" s="355">
        <v>44743</v>
      </c>
      <c r="BC30" s="355">
        <v>44926</v>
      </c>
      <c r="BD30" s="213" t="str">
        <f>+AQ30</f>
        <v>Informe</v>
      </c>
      <c r="BE30" s="356"/>
      <c r="BF30" s="356"/>
      <c r="BG30" s="356"/>
      <c r="BH30" s="356"/>
      <c r="BI30" s="356"/>
      <c r="BJ30" s="356"/>
      <c r="BK30" s="356"/>
      <c r="BL30" s="356"/>
      <c r="BM30" s="356"/>
      <c r="BN30" s="356"/>
      <c r="BO30" s="356"/>
      <c r="BP30" s="356"/>
      <c r="BQ30" s="356"/>
      <c r="BR30" s="356"/>
      <c r="BS30" s="356"/>
      <c r="BT30" s="356"/>
      <c r="BU30" s="356"/>
      <c r="BV30" s="356"/>
      <c r="BW30" s="356"/>
      <c r="BX30" s="356"/>
    </row>
    <row r="31" spans="1:76" ht="14.45" customHeight="1">
      <c r="W31" s="363"/>
    </row>
  </sheetData>
  <mergeCells count="278">
    <mergeCell ref="R25:R27"/>
    <mergeCell ref="W28:W29"/>
    <mergeCell ref="Y28:Y29"/>
    <mergeCell ref="U28:U29"/>
    <mergeCell ref="V28:V29"/>
    <mergeCell ref="AW25:AW27"/>
    <mergeCell ref="AA15:AA17"/>
    <mergeCell ref="AB15:AB17"/>
    <mergeCell ref="Y23:Y24"/>
    <mergeCell ref="Z23:Z24"/>
    <mergeCell ref="AA23:AA24"/>
    <mergeCell ref="AU26:AU27"/>
    <mergeCell ref="AW28:AW29"/>
    <mergeCell ref="Z28:Z29"/>
    <mergeCell ref="AA28:AA29"/>
    <mergeCell ref="R12:R13"/>
    <mergeCell ref="AB8:AB9"/>
    <mergeCell ref="T25:T27"/>
    <mergeCell ref="M23:M24"/>
    <mergeCell ref="N23:N24"/>
    <mergeCell ref="O23:O24"/>
    <mergeCell ref="P23:P24"/>
    <mergeCell ref="Q23:Q24"/>
    <mergeCell ref="R23:R24"/>
    <mergeCell ref="U25:U27"/>
    <mergeCell ref="V25:V27"/>
    <mergeCell ref="AA8:AA9"/>
    <mergeCell ref="W8:W9"/>
    <mergeCell ref="Z25:Z27"/>
    <mergeCell ref="AA25:AA27"/>
    <mergeCell ref="AB25:AB27"/>
    <mergeCell ref="N18:N22"/>
    <mergeCell ref="O18:O22"/>
    <mergeCell ref="P18:P22"/>
    <mergeCell ref="Q18:Q22"/>
    <mergeCell ref="R18:R22"/>
    <mergeCell ref="P25:P27"/>
    <mergeCell ref="Q25:Q27"/>
    <mergeCell ref="AB23:AB24"/>
    <mergeCell ref="AX25:AX27"/>
    <mergeCell ref="AX8:AX9"/>
    <mergeCell ref="AV12:AV13"/>
    <mergeCell ref="AU12:AU13"/>
    <mergeCell ref="AB12:AB13"/>
    <mergeCell ref="AX12:AX13"/>
    <mergeCell ref="S28:S29"/>
    <mergeCell ref="T28:T29"/>
    <mergeCell ref="AY26:AY27"/>
    <mergeCell ref="Z8:Z9"/>
    <mergeCell ref="V8:V9"/>
    <mergeCell ref="AW8:AW9"/>
    <mergeCell ref="Z12:Z13"/>
    <mergeCell ref="AA12:AA13"/>
    <mergeCell ref="X12:X13"/>
    <mergeCell ref="AW12:AW13"/>
    <mergeCell ref="S12:S13"/>
    <mergeCell ref="T12:T13"/>
    <mergeCell ref="X8:X9"/>
    <mergeCell ref="V12:V13"/>
    <mergeCell ref="W12:W13"/>
    <mergeCell ref="Y12:Y13"/>
    <mergeCell ref="AB28:AB29"/>
    <mergeCell ref="AW23:AW24"/>
    <mergeCell ref="AZ26:AZ27"/>
    <mergeCell ref="BA26:BA27"/>
    <mergeCell ref="S25:S27"/>
    <mergeCell ref="W25:W27"/>
    <mergeCell ref="X25:X27"/>
    <mergeCell ref="X28:X29"/>
    <mergeCell ref="Y25:Y27"/>
    <mergeCell ref="BE1:BX1"/>
    <mergeCell ref="BE2:BI2"/>
    <mergeCell ref="BJ2:BN2"/>
    <mergeCell ref="BO2:BS2"/>
    <mergeCell ref="BT2:BX2"/>
    <mergeCell ref="AX28:AX29"/>
    <mergeCell ref="BB26:BB27"/>
    <mergeCell ref="BC26:BC27"/>
    <mergeCell ref="BD26:BD27"/>
    <mergeCell ref="W23:W24"/>
    <mergeCell ref="X23:X24"/>
    <mergeCell ref="AX23:AX24"/>
    <mergeCell ref="S23:S24"/>
    <mergeCell ref="T23:T24"/>
    <mergeCell ref="U23:U24"/>
    <mergeCell ref="V23:V24"/>
    <mergeCell ref="Y8:Y9"/>
    <mergeCell ref="N28:N29"/>
    <mergeCell ref="P28:P29"/>
    <mergeCell ref="R28:R29"/>
    <mergeCell ref="M28:M29"/>
    <mergeCell ref="O28:O29"/>
    <mergeCell ref="Q28:Q29"/>
    <mergeCell ref="G28:G29"/>
    <mergeCell ref="H28:H29"/>
    <mergeCell ref="I28:I29"/>
    <mergeCell ref="J28:J29"/>
    <mergeCell ref="K28:K29"/>
    <mergeCell ref="L28:L29"/>
    <mergeCell ref="J25:J27"/>
    <mergeCell ref="K25:K27"/>
    <mergeCell ref="L25:L27"/>
    <mergeCell ref="N25:N27"/>
    <mergeCell ref="O25:O27"/>
    <mergeCell ref="A23:A24"/>
    <mergeCell ref="B23:B24"/>
    <mergeCell ref="C23:C24"/>
    <mergeCell ref="M25:M27"/>
    <mergeCell ref="D25:D27"/>
    <mergeCell ref="E25:E27"/>
    <mergeCell ref="F25:F27"/>
    <mergeCell ref="G25:G27"/>
    <mergeCell ref="H25:H27"/>
    <mergeCell ref="I25:I27"/>
    <mergeCell ref="L23:L24"/>
    <mergeCell ref="D23:D24"/>
    <mergeCell ref="E23:E24"/>
    <mergeCell ref="F23:F24"/>
    <mergeCell ref="G23:G24"/>
    <mergeCell ref="H23:H24"/>
    <mergeCell ref="I23:I24"/>
    <mergeCell ref="J23:J24"/>
    <mergeCell ref="K23:K24"/>
    <mergeCell ref="A28:A29"/>
    <mergeCell ref="B28:B29"/>
    <mergeCell ref="C28:C29"/>
    <mergeCell ref="D28:D29"/>
    <mergeCell ref="E28:E29"/>
    <mergeCell ref="F28:F29"/>
    <mergeCell ref="A25:A27"/>
    <mergeCell ref="B25:B27"/>
    <mergeCell ref="C25:C27"/>
    <mergeCell ref="AX18:AX22"/>
    <mergeCell ref="S18:S22"/>
    <mergeCell ref="T18:T22"/>
    <mergeCell ref="U18:U22"/>
    <mergeCell ref="V18:V22"/>
    <mergeCell ref="W18:W22"/>
    <mergeCell ref="X18:X22"/>
    <mergeCell ref="M18:M22"/>
    <mergeCell ref="AW15:AW17"/>
    <mergeCell ref="W15:W17"/>
    <mergeCell ref="AU15:AU17"/>
    <mergeCell ref="AV15:AV17"/>
    <mergeCell ref="N15:N17"/>
    <mergeCell ref="P15:P17"/>
    <mergeCell ref="R15:R17"/>
    <mergeCell ref="U15:U17"/>
    <mergeCell ref="V15:V17"/>
    <mergeCell ref="O15:O17"/>
    <mergeCell ref="Y18:Y22"/>
    <mergeCell ref="Z18:Z22"/>
    <mergeCell ref="AA18:AA22"/>
    <mergeCell ref="AB18:AB22"/>
    <mergeCell ref="AW18:AW22"/>
    <mergeCell ref="K18:K22"/>
    <mergeCell ref="L18:L22"/>
    <mergeCell ref="A15:A17"/>
    <mergeCell ref="B15:B17"/>
    <mergeCell ref="C15:C17"/>
    <mergeCell ref="D15:D17"/>
    <mergeCell ref="E15:E17"/>
    <mergeCell ref="F15:F17"/>
    <mergeCell ref="Z15:Z17"/>
    <mergeCell ref="Q15:Q17"/>
    <mergeCell ref="S15:S17"/>
    <mergeCell ref="T15:T17"/>
    <mergeCell ref="I15:I17"/>
    <mergeCell ref="J15:J17"/>
    <mergeCell ref="K15:K17"/>
    <mergeCell ref="M15:M17"/>
    <mergeCell ref="L15:L17"/>
    <mergeCell ref="G15:G17"/>
    <mergeCell ref="H15:H17"/>
    <mergeCell ref="G18:G22"/>
    <mergeCell ref="H18:H22"/>
    <mergeCell ref="I18:I22"/>
    <mergeCell ref="J18:J22"/>
    <mergeCell ref="L12:L13"/>
    <mergeCell ref="AX15:AX17"/>
    <mergeCell ref="A18:A22"/>
    <mergeCell ref="B18:B22"/>
    <mergeCell ref="C18:C22"/>
    <mergeCell ref="D18:D22"/>
    <mergeCell ref="E18:E22"/>
    <mergeCell ref="F18:F22"/>
    <mergeCell ref="X15:X17"/>
    <mergeCell ref="Y15:Y17"/>
    <mergeCell ref="M12:M13"/>
    <mergeCell ref="O12:O13"/>
    <mergeCell ref="Q12:Q13"/>
    <mergeCell ref="G12:G13"/>
    <mergeCell ref="H12:H13"/>
    <mergeCell ref="I12:I13"/>
    <mergeCell ref="J12:J13"/>
    <mergeCell ref="K12:K13"/>
    <mergeCell ref="N12:N13"/>
    <mergeCell ref="P12:P13"/>
    <mergeCell ref="A12:A13"/>
    <mergeCell ref="B12:B13"/>
    <mergeCell ref="C12:C13"/>
    <mergeCell ref="D12:D13"/>
    <mergeCell ref="E12:E13"/>
    <mergeCell ref="F12:F13"/>
    <mergeCell ref="G8:G9"/>
    <mergeCell ref="H8:H9"/>
    <mergeCell ref="AB5:AB7"/>
    <mergeCell ref="AA5:AA7"/>
    <mergeCell ref="S5:S7"/>
    <mergeCell ref="T5:T7"/>
    <mergeCell ref="W5:W7"/>
    <mergeCell ref="X5:X7"/>
    <mergeCell ref="U5:U7"/>
    <mergeCell ref="V5:V7"/>
    <mergeCell ref="I8:I9"/>
    <mergeCell ref="J8:J9"/>
    <mergeCell ref="K8:K9"/>
    <mergeCell ref="M8:M9"/>
    <mergeCell ref="L8:L9"/>
    <mergeCell ref="U12:U13"/>
    <mergeCell ref="N8:N9"/>
    <mergeCell ref="P8:P9"/>
    <mergeCell ref="R8:R9"/>
    <mergeCell ref="U8:U9"/>
    <mergeCell ref="O8:O9"/>
    <mergeCell ref="Q8:Q9"/>
    <mergeCell ref="A8:A9"/>
    <mergeCell ref="B8:B9"/>
    <mergeCell ref="C8:C9"/>
    <mergeCell ref="D8:D9"/>
    <mergeCell ref="E8:E9"/>
    <mergeCell ref="F8:F9"/>
    <mergeCell ref="AX2:AX3"/>
    <mergeCell ref="A5:A7"/>
    <mergeCell ref="B5:B7"/>
    <mergeCell ref="C5:C7"/>
    <mergeCell ref="D5:D7"/>
    <mergeCell ref="E5:E7"/>
    <mergeCell ref="F5:F7"/>
    <mergeCell ref="AX5:AX7"/>
    <mergeCell ref="G5:G7"/>
    <mergeCell ref="H5:H7"/>
    <mergeCell ref="I5:I7"/>
    <mergeCell ref="J5:J7"/>
    <mergeCell ref="K5:K7"/>
    <mergeCell ref="L5:L7"/>
    <mergeCell ref="S8:S9"/>
    <mergeCell ref="T8:T9"/>
    <mergeCell ref="AW5:AW7"/>
    <mergeCell ref="AD2:AD3"/>
    <mergeCell ref="M5:M7"/>
    <mergeCell ref="N5:N7"/>
    <mergeCell ref="O5:O7"/>
    <mergeCell ref="P5:P7"/>
    <mergeCell ref="Q5:Q7"/>
    <mergeCell ref="R5:R7"/>
    <mergeCell ref="Z5:Z7"/>
    <mergeCell ref="Y5:Y7"/>
    <mergeCell ref="AK3:AL3"/>
    <mergeCell ref="AI2:AI3"/>
    <mergeCell ref="AJ2:AT2"/>
    <mergeCell ref="BB2:BB3"/>
    <mergeCell ref="BC2:BC3"/>
    <mergeCell ref="A1:T2"/>
    <mergeCell ref="U1:AB2"/>
    <mergeCell ref="AC1:AT1"/>
    <mergeCell ref="AV1:AX1"/>
    <mergeCell ref="AY1:BD1"/>
    <mergeCell ref="AC2:AC3"/>
    <mergeCell ref="BD2:BD3"/>
    <mergeCell ref="G3:H3"/>
    <mergeCell ref="BA2:BA3"/>
    <mergeCell ref="AY2:AZ3"/>
    <mergeCell ref="AM3:AN3"/>
    <mergeCell ref="AO3:AP3"/>
    <mergeCell ref="AR3:AS3"/>
    <mergeCell ref="AU2:AW3"/>
    <mergeCell ref="AE2:AH2"/>
  </mergeCells>
  <conditionalFormatting sqref="V4:V30">
    <cfRule type="expression" dxfId="617" priority="285" stopIfTrue="1">
      <formula>NOT(ISERROR(SEARCH("Muy alta",V4)))</formula>
    </cfRule>
    <cfRule type="expression" dxfId="616" priority="286" stopIfTrue="1">
      <formula>NOT(ISERROR(SEARCH("Alta",V4)))</formula>
    </cfRule>
    <cfRule type="expression" dxfId="615" priority="287" stopIfTrue="1">
      <formula>NOT(ISERROR(SEARCH("Media",V4)))</formula>
    </cfRule>
  </conditionalFormatting>
  <conditionalFormatting sqref="X4:X30">
    <cfRule type="containsText" dxfId="614" priority="11" operator="containsText" text="Catastrófico">
      <formula>NOT(ISERROR(SEARCH("Catastrófico",X4)))</formula>
    </cfRule>
    <cfRule type="containsText" dxfId="613" priority="12" operator="containsText" text="Mayor">
      <formula>NOT(ISERROR(SEARCH("Mayor",X4)))</formula>
    </cfRule>
    <cfRule type="containsText" dxfId="612" priority="13" operator="containsText" text="Moderado">
      <formula>NOT(ISERROR(SEARCH("Moderado",X4)))</formula>
    </cfRule>
    <cfRule type="containsText" dxfId="611" priority="14" operator="containsText" text="Menor">
      <formula>NOT(ISERROR(SEARCH("Menor",X4)))</formula>
    </cfRule>
    <cfRule type="containsText" dxfId="610" priority="15" operator="containsText" text="Leve">
      <formula>NOT(ISERROR(SEARCH("Leve",X4)))</formula>
    </cfRule>
  </conditionalFormatting>
  <conditionalFormatting sqref="Z4:Z5 Z8 Z10:Z12 Z14:Z15 Z18 Z23 Z25 Z28 Z30">
    <cfRule type="containsText" dxfId="609" priority="126" operator="containsText" text="Alto">
      <formula>NOT(ISERROR(SEARCH("Alto",Z4)))</formula>
    </cfRule>
    <cfRule type="containsText" dxfId="608" priority="127" operator="containsText" text="Moderado">
      <formula>NOT(ISERROR(SEARCH("Moderado",Z4)))</formula>
    </cfRule>
    <cfRule type="containsText" dxfId="607" priority="128" operator="containsText" text="Extremo">
      <formula>NOT(ISERROR(SEARCH("Extremo",Z4)))</formula>
    </cfRule>
    <cfRule type="containsText" dxfId="606" priority="129" operator="containsText" text="Bajo">
      <formula>NOT(ISERROR(SEARCH("Bajo",Z4)))</formula>
    </cfRule>
  </conditionalFormatting>
  <conditionalFormatting sqref="AC8:AC9">
    <cfRule type="containsText" dxfId="605" priority="266" operator="containsText" text="BAJA">
      <formula>NOT(ISERROR(SEARCH("BAJA",AC8)))</formula>
    </cfRule>
    <cfRule type="containsText" dxfId="604" priority="267" operator="containsText" text="MEDIA">
      <formula>NOT(ISERROR(SEARCH("MEDIA",AC8)))</formula>
    </cfRule>
    <cfRule type="containsText" dxfId="603" priority="268" operator="containsText" text="ALTA">
      <formula>NOT(ISERROR(SEARCH("ALTA",AC8)))</formula>
    </cfRule>
  </conditionalFormatting>
  <conditionalFormatting sqref="AC18:AC25">
    <cfRule type="containsText" dxfId="602" priority="161" operator="containsText" text="BAJA">
      <formula>NOT(ISERROR(SEARCH("BAJA",AC18)))</formula>
    </cfRule>
    <cfRule type="containsText" dxfId="601" priority="162" operator="containsText" text="MEDIA">
      <formula>NOT(ISERROR(SEARCH("MEDIA",AC18)))</formula>
    </cfRule>
    <cfRule type="containsText" dxfId="600" priority="163" operator="containsText" text="ALTA">
      <formula>NOT(ISERROR(SEARCH("ALTA",AC18)))</formula>
    </cfRule>
  </conditionalFormatting>
  <conditionalFormatting sqref="AC28">
    <cfRule type="containsText" dxfId="599" priority="146" operator="containsText" text="BAJA">
      <formula>NOT(ISERROR(SEARCH("BAJA",AC28)))</formula>
    </cfRule>
    <cfRule type="containsText" dxfId="598" priority="147" operator="containsText" text="MEDIA">
      <formula>NOT(ISERROR(SEARCH("MEDIA",AC28)))</formula>
    </cfRule>
    <cfRule type="containsText" dxfId="597" priority="148" operator="containsText" text="ALTA">
      <formula>NOT(ISERROR(SEARCH("ALTA",AC28)))</formula>
    </cfRule>
  </conditionalFormatting>
  <conditionalFormatting sqref="AC10:AD14">
    <cfRule type="containsText" dxfId="596" priority="67" operator="containsText" text="BAJA">
      <formula>NOT(ISERROR(SEARCH("BAJA",AC10)))</formula>
    </cfRule>
    <cfRule type="containsText" dxfId="595" priority="68" operator="containsText" text="MEDIA">
      <formula>NOT(ISERROR(SEARCH("MEDIA",AC10)))</formula>
    </cfRule>
    <cfRule type="containsText" dxfId="594" priority="69" operator="containsText" text="ALTA">
      <formula>NOT(ISERROR(SEARCH("ALTA",AC10)))</formula>
    </cfRule>
  </conditionalFormatting>
  <conditionalFormatting sqref="AC30:AD30">
    <cfRule type="containsText" dxfId="593" priority="38" operator="containsText" text="BAJA">
      <formula>NOT(ISERROR(SEARCH("BAJA",AC30)))</formula>
    </cfRule>
    <cfRule type="containsText" dxfId="592" priority="39" operator="containsText" text="MEDIA">
      <formula>NOT(ISERROR(SEARCH("MEDIA",AC30)))</formula>
    </cfRule>
    <cfRule type="containsText" dxfId="591" priority="40" operator="containsText" text="ALTA">
      <formula>NOT(ISERROR(SEARCH("ALTA",AC30)))</formula>
    </cfRule>
  </conditionalFormatting>
  <conditionalFormatting sqref="AD15">
    <cfRule type="containsText" dxfId="590" priority="225" operator="containsText" text="BAJA">
      <formula>NOT(ISERROR(SEARCH("BAJA",AD15)))</formula>
    </cfRule>
    <cfRule type="containsText" dxfId="589" priority="226" operator="containsText" text="MEDIA">
      <formula>NOT(ISERROR(SEARCH("MEDIA",AD15)))</formula>
    </cfRule>
    <cfRule type="containsText" dxfId="588" priority="227" operator="containsText" text="ALTA">
      <formula>NOT(ISERROR(SEARCH("ALTA",AD15)))</formula>
    </cfRule>
  </conditionalFormatting>
  <conditionalFormatting sqref="AD23:AD24">
    <cfRule type="containsText" dxfId="587" priority="165" operator="containsText" text="BAJA">
      <formula>NOT(ISERROR(SEARCH("BAJA",AD23)))</formula>
    </cfRule>
    <cfRule type="containsText" dxfId="586" priority="166" operator="containsText" text="MEDIA">
      <formula>NOT(ISERROR(SEARCH("MEDIA",AD23)))</formula>
    </cfRule>
    <cfRule type="containsText" dxfId="585" priority="167" operator="containsText" text="ALTA">
      <formula>NOT(ISERROR(SEARCH("ALTA",AD23)))</formula>
    </cfRule>
  </conditionalFormatting>
  <conditionalFormatting sqref="AJ17">
    <cfRule type="containsText" dxfId="584" priority="4" operator="containsText" text="BAJA">
      <formula>NOT(ISERROR(SEARCH("BAJA",AJ17)))</formula>
    </cfRule>
    <cfRule type="containsText" dxfId="583" priority="5" operator="containsText" text="MEDIA">
      <formula>NOT(ISERROR(SEARCH("MEDIA",AJ17)))</formula>
    </cfRule>
    <cfRule type="containsText" dxfId="582" priority="6" operator="containsText" text="ALTA">
      <formula>NOT(ISERROR(SEARCH("ALTA",AJ17)))</formula>
    </cfRule>
  </conditionalFormatting>
  <conditionalFormatting sqref="AJ7:AK9">
    <cfRule type="containsText" dxfId="581" priority="283" operator="containsText" text="BAJA">
      <formula>NOT(ISERROR(SEARCH("BAJA",AJ7)))</formula>
    </cfRule>
    <cfRule type="containsText" dxfId="580" priority="284" operator="containsText" text="MEDIA">
      <formula>NOT(ISERROR(SEARCH("MEDIA",AJ7)))</formula>
    </cfRule>
  </conditionalFormatting>
  <conditionalFormatting sqref="AJ18:AK22">
    <cfRule type="containsText" dxfId="579" priority="192" operator="containsText" text="BAJA">
      <formula>NOT(ISERROR(SEARCH("BAJA",AJ18)))</formula>
    </cfRule>
    <cfRule type="containsText" dxfId="578" priority="193" operator="containsText" text="MEDIA">
      <formula>NOT(ISERROR(SEARCH("MEDIA",AJ18)))</formula>
    </cfRule>
    <cfRule type="containsText" dxfId="577" priority="194" operator="containsText" text="ALTA">
      <formula>NOT(ISERROR(SEARCH("ALTA",AJ18)))</formula>
    </cfRule>
  </conditionalFormatting>
  <conditionalFormatting sqref="AJ25:AK27">
    <cfRule type="containsText" dxfId="576" priority="158" operator="containsText" text="BAJA">
      <formula>NOT(ISERROR(SEARCH("BAJA",AJ25)))</formula>
    </cfRule>
    <cfRule type="containsText" dxfId="575" priority="159" operator="containsText" text="MEDIA">
      <formula>NOT(ISERROR(SEARCH("MEDIA",AJ25)))</formula>
    </cfRule>
    <cfRule type="containsText" dxfId="574" priority="160" operator="containsText" text="ALTA">
      <formula>NOT(ISERROR(SEARCH("ALTA",AJ25)))</formula>
    </cfRule>
  </conditionalFormatting>
  <conditionalFormatting sqref="AJ10:AL11">
    <cfRule type="containsText" dxfId="573" priority="93" operator="containsText" text="BAJA">
      <formula>NOT(ISERROR(SEARCH("BAJA",AJ10)))</formula>
    </cfRule>
    <cfRule type="containsText" dxfId="572" priority="94" operator="containsText" text="MEDIA">
      <formula>NOT(ISERROR(SEARCH("MEDIA",AJ10)))</formula>
    </cfRule>
    <cfRule type="containsText" dxfId="571" priority="95" operator="containsText" text="ALTA">
      <formula>NOT(ISERROR(SEARCH("ALTA",AJ10)))</formula>
    </cfRule>
  </conditionalFormatting>
  <conditionalFormatting sqref="AJ13:AL14">
    <cfRule type="containsText" dxfId="570" priority="64" operator="containsText" text="BAJA">
      <formula>NOT(ISERROR(SEARCH("BAJA",AJ13)))</formula>
    </cfRule>
    <cfRule type="containsText" dxfId="569" priority="65" operator="containsText" text="MEDIA">
      <formula>NOT(ISERROR(SEARCH("MEDIA",AJ13)))</formula>
    </cfRule>
    <cfRule type="containsText" dxfId="568" priority="66" operator="containsText" text="ALTA">
      <formula>NOT(ISERROR(SEARCH("ALTA",AJ13)))</formula>
    </cfRule>
  </conditionalFormatting>
  <conditionalFormatting sqref="AJ30:AL30">
    <cfRule type="containsText" dxfId="567" priority="35" operator="containsText" text="BAJA">
      <formula>NOT(ISERROR(SEARCH("BAJA",AJ30)))</formula>
    </cfRule>
    <cfRule type="containsText" dxfId="566" priority="36" operator="containsText" text="MEDIA">
      <formula>NOT(ISERROR(SEARCH("MEDIA",AJ30)))</formula>
    </cfRule>
    <cfRule type="containsText" dxfId="565" priority="37" operator="containsText" text="ALTA">
      <formula>NOT(ISERROR(SEARCH("ALTA",AJ30)))</formula>
    </cfRule>
  </conditionalFormatting>
  <conditionalFormatting sqref="AJ12:AN12">
    <cfRule type="containsText" dxfId="564" priority="237" operator="containsText" text="BAJA">
      <formula>NOT(ISERROR(SEARCH("BAJA",AJ12)))</formula>
    </cfRule>
    <cfRule type="containsText" dxfId="563" priority="238" operator="containsText" text="MEDIA">
      <formula>NOT(ISERROR(SEARCH("MEDIA",AJ12)))</formula>
    </cfRule>
    <cfRule type="containsText" dxfId="562" priority="239" operator="containsText" text="ALTA">
      <formula>NOT(ISERROR(SEARCH("ALTA",AJ12)))</formula>
    </cfRule>
  </conditionalFormatting>
  <conditionalFormatting sqref="AJ15:AN16">
    <cfRule type="containsText" dxfId="561" priority="222" operator="containsText" text="BAJA">
      <formula>NOT(ISERROR(SEARCH("BAJA",AJ15)))</formula>
    </cfRule>
    <cfRule type="containsText" dxfId="560" priority="223" operator="containsText" text="MEDIA">
      <formula>NOT(ISERROR(SEARCH("MEDIA",AJ15)))</formula>
    </cfRule>
    <cfRule type="containsText" dxfId="559" priority="224" operator="containsText" text="ALTA">
      <formula>NOT(ISERROR(SEARCH("ALTA",AJ15)))</formula>
    </cfRule>
  </conditionalFormatting>
  <conditionalFormatting sqref="AJ23:AS24">
    <cfRule type="containsText" dxfId="558" priority="171" operator="containsText" text="BAJA">
      <formula>NOT(ISERROR(SEARCH("BAJA",AJ23)))</formula>
    </cfRule>
    <cfRule type="containsText" dxfId="557" priority="172" operator="containsText" text="MEDIA">
      <formula>NOT(ISERROR(SEARCH("MEDIA",AJ23)))</formula>
    </cfRule>
    <cfRule type="containsText" dxfId="556" priority="173" operator="containsText" text="ALTA">
      <formula>NOT(ISERROR(SEARCH("ALTA",AJ23)))</formula>
    </cfRule>
  </conditionalFormatting>
  <conditionalFormatting sqref="AK28:AK29">
    <cfRule type="containsText" dxfId="555" priority="152" operator="containsText" text="BAJA">
      <formula>NOT(ISERROR(SEARCH("BAJA",AK28)))</formula>
    </cfRule>
    <cfRule type="containsText" dxfId="554" priority="153" operator="containsText" text="MEDIA">
      <formula>NOT(ISERROR(SEARCH("MEDIA",AK28)))</formula>
    </cfRule>
    <cfRule type="containsText" dxfId="553" priority="154" operator="containsText" text="ALTA">
      <formula>NOT(ISERROR(SEARCH("ALTA",AK28)))</formula>
    </cfRule>
  </conditionalFormatting>
  <conditionalFormatting sqref="AL15:AL16">
    <cfRule type="containsText" dxfId="552" priority="204" operator="containsText" text="BAJA">
      <formula>NOT(ISERROR(SEARCH("BAJA",AL15)))</formula>
    </cfRule>
    <cfRule type="containsText" dxfId="551" priority="205" operator="containsText" text="MEDIA">
      <formula>NOT(ISERROR(SEARCH("MEDIA",AL15)))</formula>
    </cfRule>
    <cfRule type="containsText" dxfId="550" priority="206" operator="containsText" text="ALTA">
      <formula>NOT(ISERROR(SEARCH("ALTA",AL15)))</formula>
    </cfRule>
  </conditionalFormatting>
  <conditionalFormatting sqref="AL23">
    <cfRule type="containsText" dxfId="549" priority="180" operator="containsText" text="BAJA">
      <formula>NOT(ISERROR(SEARCH("BAJA",AL23)))</formula>
    </cfRule>
    <cfRule type="containsText" dxfId="548" priority="181" operator="containsText" text="MEDIA">
      <formula>NOT(ISERROR(SEARCH("MEDIA",AL23)))</formula>
    </cfRule>
    <cfRule type="containsText" dxfId="547" priority="182" operator="containsText" text="ALTA">
      <formula>NOT(ISERROR(SEARCH("ALTA",AL23)))</formula>
    </cfRule>
  </conditionalFormatting>
  <conditionalFormatting sqref="AN8:AN11">
    <cfRule type="containsText" dxfId="546" priority="107" operator="containsText" text="BAJA">
      <formula>NOT(ISERROR(SEARCH("BAJA",AN8)))</formula>
    </cfRule>
    <cfRule type="containsText" dxfId="545" priority="108" operator="containsText" text="MEDIA">
      <formula>NOT(ISERROR(SEARCH("MEDIA",AN8)))</formula>
    </cfRule>
    <cfRule type="containsText" dxfId="544" priority="109" operator="containsText" text="ALTA">
      <formula>NOT(ISERROR(SEARCH("ALTA",AN8)))</formula>
    </cfRule>
  </conditionalFormatting>
  <conditionalFormatting sqref="AN13:AN14">
    <cfRule type="containsText" dxfId="543" priority="74" operator="containsText" text="BAJA">
      <formula>NOT(ISERROR(SEARCH("BAJA",AN13)))</formula>
    </cfRule>
    <cfRule type="containsText" dxfId="542" priority="75" operator="containsText" text="MEDIA">
      <formula>NOT(ISERROR(SEARCH("MEDIA",AN13)))</formula>
    </cfRule>
    <cfRule type="containsText" dxfId="541" priority="76" operator="containsText" text="ALTA">
      <formula>NOT(ISERROR(SEARCH("ALTA",AN13)))</formula>
    </cfRule>
  </conditionalFormatting>
  <conditionalFormatting sqref="AN17">
    <cfRule type="containsText" dxfId="540" priority="207" operator="containsText" text="BAJA">
      <formula>NOT(ISERROR(SEARCH("BAJA",AN17)))</formula>
    </cfRule>
    <cfRule type="containsText" dxfId="539" priority="208" operator="containsText" text="MEDIA">
      <formula>NOT(ISERROR(SEARCH("MEDIA",AN17)))</formula>
    </cfRule>
    <cfRule type="containsText" dxfId="538" priority="209" operator="containsText" text="ALTA">
      <formula>NOT(ISERROR(SEARCH("ALTA",AN17)))</formula>
    </cfRule>
  </conditionalFormatting>
  <conditionalFormatting sqref="AN30">
    <cfRule type="containsText" dxfId="537" priority="45" operator="containsText" text="BAJA">
      <formula>NOT(ISERROR(SEARCH("BAJA",AN30)))</formula>
    </cfRule>
    <cfRule type="containsText" dxfId="536" priority="46" operator="containsText" text="MEDIA">
      <formula>NOT(ISERROR(SEARCH("MEDIA",AN30)))</formula>
    </cfRule>
    <cfRule type="containsText" dxfId="535" priority="47" operator="containsText" text="ALTA">
      <formula>NOT(ISERROR(SEARCH("ALTA",AN30)))</formula>
    </cfRule>
  </conditionalFormatting>
  <conditionalFormatting sqref="AP10:AP11">
    <cfRule type="containsText" dxfId="534" priority="113" operator="containsText" text="BAJA">
      <formula>NOT(ISERROR(SEARCH("BAJA",AP10)))</formula>
    </cfRule>
    <cfRule type="containsText" dxfId="533" priority="114" operator="containsText" text="MEDIA">
      <formula>NOT(ISERROR(SEARCH("MEDIA",AP10)))</formula>
    </cfRule>
    <cfRule type="containsText" dxfId="532" priority="115" operator="containsText" text="ALTA">
      <formula>NOT(ISERROR(SEARCH("ALTA",AP10)))</formula>
    </cfRule>
  </conditionalFormatting>
  <conditionalFormatting sqref="AP14:AP16">
    <cfRule type="containsText" dxfId="531" priority="77" operator="containsText" text="BAJA">
      <formula>NOT(ISERROR(SEARCH("BAJA",AP14)))</formula>
    </cfRule>
    <cfRule type="containsText" dxfId="530" priority="78" operator="containsText" text="MEDIA">
      <formula>NOT(ISERROR(SEARCH("MEDIA",AP14)))</formula>
    </cfRule>
    <cfRule type="containsText" dxfId="529" priority="79" operator="containsText" text="ALTA">
      <formula>NOT(ISERROR(SEARCH("ALTA",AP14)))</formula>
    </cfRule>
  </conditionalFormatting>
  <conditionalFormatting sqref="AP30">
    <cfRule type="containsText" dxfId="528" priority="48" operator="containsText" text="BAJA">
      <formula>NOT(ISERROR(SEARCH("BAJA",AP30)))</formula>
    </cfRule>
    <cfRule type="containsText" dxfId="527" priority="49" operator="containsText" text="MEDIA">
      <formula>NOT(ISERROR(SEARCH("MEDIA",AP30)))</formula>
    </cfRule>
    <cfRule type="containsText" dxfId="526" priority="50" operator="containsText" text="ALTA">
      <formula>NOT(ISERROR(SEARCH("ALTA",AP30)))</formula>
    </cfRule>
  </conditionalFormatting>
  <conditionalFormatting sqref="AP23:AQ24">
    <cfRule type="containsText" dxfId="525" priority="168" operator="containsText" text="BAJA">
      <formula>NOT(ISERROR(SEARCH("BAJA",AP23)))</formula>
    </cfRule>
    <cfRule type="containsText" dxfId="524" priority="169" operator="containsText" text="MEDIA">
      <formula>NOT(ISERROR(SEARCH("MEDIA",AP23)))</formula>
    </cfRule>
    <cfRule type="containsText" dxfId="523" priority="170" operator="containsText" text="ALTA">
      <formula>NOT(ISERROR(SEARCH("ALTA",AP23)))</formula>
    </cfRule>
  </conditionalFormatting>
  <conditionalFormatting sqref="AQ15:AR15">
    <cfRule type="containsText" dxfId="522" priority="210" operator="containsText" text="BAJA">
      <formula>NOT(ISERROR(SEARCH("BAJA",AQ15)))</formula>
    </cfRule>
    <cfRule type="containsText" dxfId="521" priority="211" operator="containsText" text="MEDIA">
      <formula>NOT(ISERROR(SEARCH("MEDIA",AQ15)))</formula>
    </cfRule>
    <cfRule type="containsText" dxfId="520" priority="212" operator="containsText" text="ALTA">
      <formula>NOT(ISERROR(SEARCH("ALTA",AQ15)))</formula>
    </cfRule>
  </conditionalFormatting>
  <conditionalFormatting sqref="AR18">
    <cfRule type="containsText" dxfId="519" priority="195" operator="containsText" text="BAJA">
      <formula>NOT(ISERROR(SEARCH("BAJA",AR18)))</formula>
    </cfRule>
    <cfRule type="containsText" dxfId="518" priority="196" operator="containsText" text="MEDIA">
      <formula>NOT(ISERROR(SEARCH("MEDIA",AR18)))</formula>
    </cfRule>
    <cfRule type="containsText" dxfId="517" priority="197" operator="containsText" text="ALTA">
      <formula>NOT(ISERROR(SEARCH("ALTA",AR18)))</formula>
    </cfRule>
  </conditionalFormatting>
  <conditionalFormatting sqref="AR23:AS23">
    <cfRule type="containsText" dxfId="516" priority="177" operator="containsText" text="BAJA">
      <formula>NOT(ISERROR(SEARCH("BAJA",AR23)))</formula>
    </cfRule>
    <cfRule type="containsText" dxfId="515" priority="178" operator="containsText" text="MEDIA">
      <formula>NOT(ISERROR(SEARCH("MEDIA",AR23)))</formula>
    </cfRule>
    <cfRule type="containsText" dxfId="514" priority="179" operator="containsText" text="ALTA">
      <formula>NOT(ISERROR(SEARCH("ALTA",AR23)))</formula>
    </cfRule>
  </conditionalFormatting>
  <conditionalFormatting sqref="AS4:AS11">
    <cfRule type="containsText" dxfId="513" priority="269" operator="containsText" text="BAJA">
      <formula>NOT(ISERROR(SEARCH("BAJA",AS4)))</formula>
    </cfRule>
    <cfRule type="containsText" dxfId="512" priority="270" operator="containsText" text="MEDIA">
      <formula>NOT(ISERROR(SEARCH("MEDIA",AS4)))</formula>
    </cfRule>
  </conditionalFormatting>
  <conditionalFormatting sqref="AS8:AS9">
    <cfRule type="containsText" dxfId="511" priority="271" operator="containsText" text="ALTA">
      <formula>NOT(ISERROR(SEARCH("ALTA",AS8)))</formula>
    </cfRule>
  </conditionalFormatting>
  <conditionalFormatting sqref="AS10:AS11">
    <cfRule type="containsText" dxfId="510" priority="116" operator="containsText" text="ALTA">
      <formula>NOT(ISERROR(SEARCH("ALTA",AS10)))</formula>
    </cfRule>
    <cfRule type="containsText" dxfId="509" priority="117" operator="containsText" text="BAJA">
      <formula>NOT(ISERROR(SEARCH("BAJA",AS10)))</formula>
    </cfRule>
    <cfRule type="containsText" dxfId="508" priority="118" operator="containsText" text="MEDIA">
      <formula>NOT(ISERROR(SEARCH("MEDIA",AS10)))</formula>
    </cfRule>
    <cfRule type="containsText" dxfId="507" priority="119" operator="containsText" text="ALTA">
      <formula>NOT(ISERROR(SEARCH("ALTA",AS10)))</formula>
    </cfRule>
  </conditionalFormatting>
  <conditionalFormatting sqref="AS14">
    <cfRule type="containsText" dxfId="506" priority="80" operator="containsText" text="ALTA">
      <formula>NOT(ISERROR(SEARCH("ALTA",AS14)))</formula>
    </cfRule>
    <cfRule type="containsText" dxfId="505" priority="81" operator="containsText" text="BAJA">
      <formula>NOT(ISERROR(SEARCH("BAJA",AS14)))</formula>
    </cfRule>
    <cfRule type="containsText" dxfId="504" priority="82" operator="containsText" text="MEDIA">
      <formula>NOT(ISERROR(SEARCH("MEDIA",AS14)))</formula>
    </cfRule>
    <cfRule type="containsText" dxfId="503" priority="83" operator="containsText" text="ALTA">
      <formula>NOT(ISERROR(SEARCH("ALTA",AS14)))</formula>
    </cfRule>
    <cfRule type="containsText" dxfId="502" priority="84" operator="containsText" text="BAJA">
      <formula>NOT(ISERROR(SEARCH("BAJA",AS14)))</formula>
    </cfRule>
    <cfRule type="containsText" dxfId="501" priority="85" operator="containsText" text="MEDIA">
      <formula>NOT(ISERROR(SEARCH("MEDIA",AS14)))</formula>
    </cfRule>
  </conditionalFormatting>
  <conditionalFormatting sqref="AS15:AS16">
    <cfRule type="containsText" dxfId="500" priority="216" operator="containsText" text="BAJA">
      <formula>NOT(ISERROR(SEARCH("BAJA",AS15)))</formula>
    </cfRule>
    <cfRule type="containsText" dxfId="499" priority="217" operator="containsText" text="MEDIA">
      <formula>NOT(ISERROR(SEARCH("MEDIA",AS15)))</formula>
    </cfRule>
    <cfRule type="containsText" dxfId="498" priority="218" operator="containsText" text="ALTA">
      <formula>NOT(ISERROR(SEARCH("ALTA",AS15)))</formula>
    </cfRule>
    <cfRule type="containsText" dxfId="497" priority="219" operator="containsText" text="BAJA">
      <formula>NOT(ISERROR(SEARCH("BAJA",AS15)))</formula>
    </cfRule>
    <cfRule type="containsText" dxfId="496" priority="220" operator="containsText" text="MEDIA">
      <formula>NOT(ISERROR(SEARCH("MEDIA",AS15)))</formula>
    </cfRule>
    <cfRule type="containsText" dxfId="495" priority="221" operator="containsText" text="ALTA">
      <formula>NOT(ISERROR(SEARCH("ALTA",AS15)))</formula>
    </cfRule>
  </conditionalFormatting>
  <conditionalFormatting sqref="AS16:AS17">
    <cfRule type="containsText" dxfId="494" priority="201" operator="containsText" text="BAJA">
      <formula>NOT(ISERROR(SEARCH("BAJA",AS16)))</formula>
    </cfRule>
    <cfRule type="containsText" dxfId="493" priority="202" operator="containsText" text="MEDIA">
      <formula>NOT(ISERROR(SEARCH("MEDIA",AS16)))</formula>
    </cfRule>
    <cfRule type="containsText" dxfId="492" priority="203" operator="containsText" text="ALTA">
      <formula>NOT(ISERROR(SEARCH("ALTA",AS16)))</formula>
    </cfRule>
  </conditionalFormatting>
  <conditionalFormatting sqref="AS17">
    <cfRule type="containsText" dxfId="491" priority="198" operator="containsText" text="BAJA">
      <formula>NOT(ISERROR(SEARCH("BAJA",AS17)))</formula>
    </cfRule>
    <cfRule type="containsText" dxfId="490" priority="199" operator="containsText" text="MEDIA">
      <formula>NOT(ISERROR(SEARCH("MEDIA",AS17)))</formula>
    </cfRule>
    <cfRule type="containsText" dxfId="489" priority="200" operator="containsText" text="ALTA">
      <formula>NOT(ISERROR(SEARCH("ALTA",AS17)))</formula>
    </cfRule>
  </conditionalFormatting>
  <conditionalFormatting sqref="AS17:AS20">
    <cfRule type="containsText" dxfId="488" priority="189" operator="containsText" text="BAJA">
      <formula>NOT(ISERROR(SEARCH("BAJA",AS17)))</formula>
    </cfRule>
    <cfRule type="containsText" dxfId="487" priority="190" operator="containsText" text="MEDIA">
      <formula>NOT(ISERROR(SEARCH("MEDIA",AS17)))</formula>
    </cfRule>
    <cfRule type="containsText" dxfId="486" priority="191" operator="containsText" text="ALTA">
      <formula>NOT(ISERROR(SEARCH("ALTA",AS17)))</formula>
    </cfRule>
  </conditionalFormatting>
  <conditionalFormatting sqref="AS24">
    <cfRule type="containsText" dxfId="485" priority="174" operator="containsText" text="BAJA">
      <formula>NOT(ISERROR(SEARCH("BAJA",AS24)))</formula>
    </cfRule>
    <cfRule type="containsText" dxfId="484" priority="175" operator="containsText" text="MEDIA">
      <formula>NOT(ISERROR(SEARCH("MEDIA",AS24)))</formula>
    </cfRule>
    <cfRule type="containsText" dxfId="483" priority="176" operator="containsText" text="ALTA">
      <formula>NOT(ISERROR(SEARCH("ALTA",AS24)))</formula>
    </cfRule>
  </conditionalFormatting>
  <conditionalFormatting sqref="AS25:AS27">
    <cfRule type="containsText" dxfId="482" priority="157" operator="containsText" text="ALTA">
      <formula>NOT(ISERROR(SEARCH("ALTA",AS25)))</formula>
    </cfRule>
  </conditionalFormatting>
  <conditionalFormatting sqref="AS30">
    <cfRule type="containsText" dxfId="481" priority="51" operator="containsText" text="ALTA">
      <formula>NOT(ISERROR(SEARCH("ALTA",AS30)))</formula>
    </cfRule>
    <cfRule type="containsText" dxfId="480" priority="52" operator="containsText" text="BAJA">
      <formula>NOT(ISERROR(SEARCH("BAJA",AS30)))</formula>
    </cfRule>
    <cfRule type="containsText" dxfId="479" priority="53" operator="containsText" text="MEDIA">
      <formula>NOT(ISERROR(SEARCH("MEDIA",AS30)))</formula>
    </cfRule>
    <cfRule type="containsText" dxfId="478" priority="54" operator="containsText" text="ALTA">
      <formula>NOT(ISERROR(SEARCH("ALTA",AS30)))</formula>
    </cfRule>
    <cfRule type="containsText" dxfId="477" priority="55" operator="containsText" text="BAJA">
      <formula>NOT(ISERROR(SEARCH("BAJA",AS30)))</formula>
    </cfRule>
    <cfRule type="containsText" dxfId="476" priority="56" operator="containsText" text="MEDIA">
      <formula>NOT(ISERROR(SEARCH("MEDIA",AS30)))</formula>
    </cfRule>
  </conditionalFormatting>
  <conditionalFormatting sqref="AS25:AT27">
    <cfRule type="containsText" dxfId="475" priority="155" operator="containsText" text="BAJA">
      <formula>NOT(ISERROR(SEARCH("BAJA",AS25)))</formula>
    </cfRule>
    <cfRule type="containsText" dxfId="474" priority="156" operator="containsText" text="MEDIA">
      <formula>NOT(ISERROR(SEARCH("MEDIA",AS25)))</formula>
    </cfRule>
  </conditionalFormatting>
  <conditionalFormatting sqref="AU9">
    <cfRule type="containsText" dxfId="473" priority="276" operator="containsText" text="BAJA">
      <formula>NOT(ISERROR(SEARCH("BAJA",AU9)))</formula>
    </cfRule>
    <cfRule type="containsText" dxfId="472" priority="277" operator="containsText" text="MEDIA">
      <formula>NOT(ISERROR(SEARCH("MEDIA",AU9)))</formula>
    </cfRule>
    <cfRule type="containsText" dxfId="471" priority="278" operator="containsText" text="ALTA">
      <formula>NOT(ISERROR(SEARCH("ALTA",AU9)))</formula>
    </cfRule>
  </conditionalFormatting>
  <conditionalFormatting sqref="BA20">
    <cfRule type="containsText" dxfId="470" priority="186" operator="containsText" text="BAJA">
      <formula>NOT(ISERROR(SEARCH("BAJA",BA20)))</formula>
    </cfRule>
    <cfRule type="containsText" dxfId="469" priority="187" operator="containsText" text="MEDIA">
      <formula>NOT(ISERROR(SEARCH("MEDIA",BA20)))</formula>
    </cfRule>
    <cfRule type="containsText" dxfId="468" priority="188" operator="containsText" text="ALTA">
      <formula>NOT(ISERROR(SEARCH("ALTA",BA20)))</formula>
    </cfRule>
  </conditionalFormatting>
  <dataValidations count="5">
    <dataValidation type="list" allowBlank="1" showInputMessage="1" showErrorMessage="1" sqref="AG4:AG27 AG30">
      <formula1>"Manual,Automático"</formula1>
    </dataValidation>
    <dataValidation type="list" allowBlank="1" showInputMessage="1" showErrorMessage="1" sqref="AJ4:AJ27 AJ30">
      <formula1>"Confiable,No confiable"</formula1>
    </dataValidation>
    <dataValidation type="list" allowBlank="1" showInputMessage="1" showErrorMessage="1" sqref="AT4:AT10 AT15:AT16 AT18:AT27 AT30">
      <formula1>"Adecuado,Inadecuado"</formula1>
    </dataValidation>
    <dataValidation type="list" allowBlank="1" showInputMessage="1" showErrorMessage="1" sqref="AR4:AR10 AR15:AR16 AR18:AR30">
      <formula1>"Asignado,No Asignado"</formula1>
    </dataValidation>
    <dataValidation type="list" allowBlank="1" showInputMessage="1" showErrorMessage="1" sqref="A4:A5 A8:A12 A14:A18 AK4:AK16 AK18:AK30 A23 A25 A30">
      <formula1>"SI,NO"</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2"/>
  <sheetViews>
    <sheetView zoomScale="59" zoomScaleNormal="59" workbookViewId="0">
      <selection sqref="A1:T2"/>
    </sheetView>
  </sheetViews>
  <sheetFormatPr baseColWidth="10" defaultColWidth="17.28515625" defaultRowHeight="15"/>
  <cols>
    <col min="1" max="1" width="14.140625" style="63" customWidth="1"/>
    <col min="2" max="2" width="14" style="63" customWidth="1"/>
    <col min="3" max="3" width="17.28515625" style="63" customWidth="1"/>
    <col min="4" max="4" width="19.42578125" style="63" customWidth="1"/>
    <col min="5" max="5" width="42.42578125" style="63" customWidth="1"/>
    <col min="6" max="6" width="69.28515625" style="53" customWidth="1"/>
    <col min="7" max="7" width="9.7109375" style="63" customWidth="1"/>
    <col min="8" max="8" width="78.7109375" style="63" customWidth="1"/>
    <col min="9" max="9" width="93.7109375" style="63" customWidth="1"/>
    <col min="10" max="10" width="19.140625" style="63" customWidth="1"/>
    <col min="11" max="11" width="16.7109375" style="63" customWidth="1"/>
    <col min="12" max="12" width="19.28515625" style="63" customWidth="1"/>
    <col min="13" max="13" width="46.140625" style="63" customWidth="1"/>
    <col min="14" max="14" width="19.28515625" style="63" customWidth="1"/>
    <col min="15" max="15" width="45.28515625" style="63" customWidth="1"/>
    <col min="16" max="16" width="17.7109375" style="63" customWidth="1"/>
    <col min="17" max="17" width="32.42578125" style="63" customWidth="1"/>
    <col min="18" max="18" width="17.140625" style="63" customWidth="1"/>
    <col min="19" max="21" width="21.85546875" style="63" customWidth="1"/>
    <col min="22" max="22" width="15" style="63" customWidth="1"/>
    <col min="23" max="23" width="12.28515625" style="239" customWidth="1"/>
    <col min="24" max="24" width="13.7109375" style="63" customWidth="1"/>
    <col min="25" max="25" width="14.7109375" style="239" customWidth="1"/>
    <col min="26" max="26" width="16.85546875" style="63" bestFit="1" customWidth="1"/>
    <col min="27" max="27" width="7.85546875" style="63" customWidth="1"/>
    <col min="28" max="28" width="28.140625" style="63" customWidth="1"/>
    <col min="29" max="29" width="93.7109375" style="63" customWidth="1"/>
    <col min="30" max="30" width="22.7109375" style="63" customWidth="1"/>
    <col min="31" max="31" width="8.42578125" style="239" customWidth="1"/>
    <col min="32" max="32" width="20.28515625" style="239" customWidth="1"/>
    <col min="33" max="33" width="9" style="239" customWidth="1"/>
    <col min="34" max="34" width="14.140625" style="239" customWidth="1"/>
    <col min="35" max="35" width="16.42578125" style="63" customWidth="1"/>
    <col min="36" max="36" width="14.7109375" style="63" customWidth="1"/>
    <col min="37" max="37" width="36.5703125" style="63" customWidth="1"/>
    <col min="38" max="38" width="13.7109375" style="63" customWidth="1"/>
    <col min="39" max="39" width="13.7109375" style="239" customWidth="1"/>
    <col min="40" max="40" width="13.7109375" style="63" customWidth="1"/>
    <col min="41" max="41" width="15.28515625" style="63" customWidth="1"/>
    <col min="42" max="42" width="6.5703125" style="63" customWidth="1"/>
    <col min="43" max="43" width="49.28515625" style="63" customWidth="1"/>
    <col min="44" max="44" width="17" style="63" customWidth="1"/>
    <col min="45" max="45" width="15.7109375" style="238" customWidth="1"/>
    <col min="46" max="46" width="23" style="238" customWidth="1"/>
    <col min="47" max="47" width="21.85546875" style="63" customWidth="1"/>
    <col min="48" max="57" width="18.140625" style="63" customWidth="1"/>
    <col min="58" max="216" width="11.42578125" style="63" customWidth="1"/>
    <col min="217" max="217" width="21.85546875" style="63" customWidth="1"/>
    <col min="218" max="218" width="13.85546875" style="63" customWidth="1"/>
    <col min="219" max="219" width="38.7109375" style="63" customWidth="1"/>
    <col min="220" max="220" width="3" style="63" bestFit="1" customWidth="1"/>
    <col min="221" max="221" width="32.28515625" style="63" customWidth="1"/>
    <col min="222" max="222" width="46.28515625" style="63" customWidth="1"/>
    <col min="223" max="223" width="19" style="63" customWidth="1"/>
    <col min="224" max="224" width="11.42578125" style="63" customWidth="1"/>
    <col min="225" max="225" width="17.7109375" style="63" customWidth="1"/>
    <col min="226" max="226" width="11.42578125" style="63" customWidth="1"/>
    <col min="227" max="227" width="22.28515625" style="63" customWidth="1"/>
    <col min="228" max="228" width="5.28515625" style="63" customWidth="1"/>
    <col min="229" max="229" width="36.28515625" style="63" customWidth="1"/>
    <col min="230" max="230" width="5.7109375" style="63" customWidth="1"/>
    <col min="231" max="231" width="11.42578125" style="63" customWidth="1"/>
    <col min="232" max="232" width="20.7109375" style="63" customWidth="1"/>
    <col min="233" max="233" width="4.85546875" style="63" customWidth="1"/>
    <col min="234" max="234" width="11.42578125" style="63" customWidth="1"/>
    <col min="235" max="235" width="24.7109375" style="63" customWidth="1"/>
    <col min="236" max="236" width="12.28515625" style="63" customWidth="1"/>
    <col min="237" max="237" width="11.42578125" style="63" customWidth="1"/>
    <col min="238" max="238" width="3.42578125" style="63" customWidth="1"/>
    <col min="239" max="239" width="11.42578125" style="63" customWidth="1"/>
    <col min="240" max="240" width="17.7109375" style="63" customWidth="1"/>
    <col min="241" max="241" width="3.42578125" style="63" customWidth="1"/>
    <col min="242" max="242" width="11.42578125" style="63" customWidth="1"/>
    <col min="243" max="243" width="23.7109375" style="63" customWidth="1"/>
    <col min="244" max="244" width="10" style="63" customWidth="1"/>
    <col min="245" max="245" width="11.42578125" style="63" customWidth="1"/>
    <col min="246" max="247" width="14.7109375" style="63" customWidth="1"/>
    <col min="248" max="248" width="12.85546875" style="63" customWidth="1"/>
    <col min="249" max="249" width="3.28515625" style="63" customWidth="1"/>
    <col min="250" max="250" width="30.28515625" style="63" customWidth="1"/>
    <col min="251" max="251" width="5" style="63" customWidth="1"/>
    <col min="252" max="252" width="11.42578125" style="63" customWidth="1"/>
    <col min="253" max="253" width="14.28515625" style="63" customWidth="1"/>
    <col min="254" max="254" width="5.7109375" style="63" customWidth="1"/>
    <col min="255" max="255" width="11.42578125" style="63" customWidth="1"/>
    <col min="256" max="16384" width="17.28515625" style="63"/>
  </cols>
  <sheetData>
    <row r="1" spans="1:59" ht="45">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78" t="s">
        <v>467</v>
      </c>
      <c r="BG1" s="78" t="s">
        <v>468</v>
      </c>
    </row>
    <row r="2" spans="1:59" ht="18.75">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59"/>
      <c r="BG2" s="59"/>
    </row>
    <row r="3" spans="1:59" s="46" customFormat="1" ht="93.75">
      <c r="A3" s="611" t="s">
        <v>199</v>
      </c>
      <c r="B3" s="611" t="s">
        <v>144</v>
      </c>
      <c r="C3" s="611" t="s">
        <v>6</v>
      </c>
      <c r="D3" s="611" t="s">
        <v>1</v>
      </c>
      <c r="E3" s="611" t="s">
        <v>2</v>
      </c>
      <c r="F3" s="568"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810"/>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c r="BF3" s="95"/>
      <c r="BG3" s="95"/>
    </row>
    <row r="4" spans="1:59" s="282" customFormat="1" ht="132" customHeight="1">
      <c r="A4" s="903" t="s">
        <v>231</v>
      </c>
      <c r="B4" s="899" t="s">
        <v>111</v>
      </c>
      <c r="C4" s="899" t="s">
        <v>70</v>
      </c>
      <c r="D4" s="899" t="s">
        <v>12</v>
      </c>
      <c r="E4" s="899" t="s">
        <v>36</v>
      </c>
      <c r="F4" s="904" t="s">
        <v>469</v>
      </c>
      <c r="G4" s="899" t="s">
        <v>470</v>
      </c>
      <c r="H4" s="899" t="s">
        <v>471</v>
      </c>
      <c r="I4" s="899" t="s">
        <v>472</v>
      </c>
      <c r="J4" s="899" t="s">
        <v>89</v>
      </c>
      <c r="K4" s="899">
        <v>2</v>
      </c>
      <c r="L4" s="900">
        <f>IF(J4="Diaria",+(K4/360),IF(J4="Semanal",+(K4/52),IF(J4="Mensual",+(K4/12),IF(J4="Bimestral",+(K4/6),IF(J4="Trimestral",+(K4/4),IF(J4="Semestral",+(K4/2),IF(J4="Anual",+(K4/1),"")))))))</f>
        <v>0.5</v>
      </c>
      <c r="M4" s="899" t="s">
        <v>30</v>
      </c>
      <c r="N4" s="900">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0.2</v>
      </c>
      <c r="O4" s="899" t="s">
        <v>48</v>
      </c>
      <c r="P4" s="900">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0.4</v>
      </c>
      <c r="Q4" s="899" t="s">
        <v>73</v>
      </c>
      <c r="R4" s="900">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903" t="s">
        <v>60</v>
      </c>
      <c r="T4" s="903" t="s">
        <v>73</v>
      </c>
      <c r="U4" s="900">
        <f>+MAX(N4,P4,R4)</f>
        <v>0.4</v>
      </c>
      <c r="V4" s="912" t="str">
        <f>IF(L4&lt;=20%,"Muy baja",IF(L4&lt;=40%,"Baja",IF(L4&lt;=60%,"Media",IF(L4&lt;=80%,"Alta",IF(L4&lt;=100%,"Muy alta",IF(L4&gt;=100%,"Muy alta",""))))))</f>
        <v>Media</v>
      </c>
      <c r="W4" s="900">
        <f>+IFERROR(VLOOKUP(V4,formulas!$F$1:$G$6,2,FALSE),"")</f>
        <v>0.6</v>
      </c>
      <c r="X4" s="911" t="str">
        <f>IF(U4=20%,"Leve",IF(U4=40%,"Menor",IF(U4=60%,"Moderado",IF(U4=80%,"Mayor",IF(U4=100%,"Catastrófico","")))))</f>
        <v>Menor</v>
      </c>
      <c r="Y4" s="900">
        <f>+IFERROR(VLOOKUP(X4,formulas!$H$1:$I$6,2,FALSE),"")</f>
        <v>0.4</v>
      </c>
      <c r="Z4" s="844" t="str">
        <f>+IFERROR(VLOOKUP(V4&amp;X4,formulas!$C$2:$D$26,2,FALSE),"")</f>
        <v>Moderado</v>
      </c>
      <c r="AA4" s="900">
        <f>IF(Z4="Bajo",25%,IF(Z4="Moderado",50%,IF(Z4="Alto",75%,IF(Z4="Extremo",100%,""))))</f>
        <v>0.5</v>
      </c>
      <c r="AB4" s="923" t="s">
        <v>473</v>
      </c>
      <c r="AC4" s="649" t="s">
        <v>474</v>
      </c>
      <c r="AD4" s="649" t="s">
        <v>39</v>
      </c>
      <c r="AE4" s="304">
        <f t="shared" ref="AE4:AE9" si="0">IF(AD4="Preventivo",25%,IF(AD4="Detectivo",15%,IF(AD4="Correctivo",10%,"")))</f>
        <v>0.15</v>
      </c>
      <c r="AF4" s="649" t="s">
        <v>229</v>
      </c>
      <c r="AG4" s="302">
        <f t="shared" ref="AG4:AG10" si="1">IF(AF4="Manual",15%,IF(AF4="Automático",25%,""))</f>
        <v>0.15</v>
      </c>
      <c r="AH4" s="302">
        <f t="shared" ref="AH4:AH12" si="2">+AG4+AE4</f>
        <v>0.3</v>
      </c>
      <c r="AI4" s="649" t="s">
        <v>230</v>
      </c>
      <c r="AJ4" s="649" t="s">
        <v>24</v>
      </c>
      <c r="AK4" s="649" t="s">
        <v>475</v>
      </c>
      <c r="AL4" s="304">
        <f>+AA4*AH4</f>
        <v>0.15</v>
      </c>
      <c r="AM4" s="304">
        <f>+AA4-AL4</f>
        <v>0.35</v>
      </c>
      <c r="AN4" s="844" t="str">
        <f>+IF(C4="Corrupción","Moderado",IF(AM5&lt;=25%,"Bajo",IF(AM5&lt;=50%,"Moderado",IF(AM5&lt;=75%,"Alto",IF(AM5&gt;75%,"Extremo","")))))</f>
        <v>Bajo</v>
      </c>
      <c r="AO4" s="922" t="s">
        <v>59</v>
      </c>
      <c r="AP4" s="279">
        <v>1</v>
      </c>
      <c r="AQ4" s="649" t="s">
        <v>476</v>
      </c>
      <c r="AR4" s="649" t="s">
        <v>148</v>
      </c>
      <c r="AS4" s="280">
        <v>45747</v>
      </c>
      <c r="AT4" s="280">
        <v>46022</v>
      </c>
      <c r="AU4" s="649" t="s">
        <v>477</v>
      </c>
      <c r="AV4" s="899"/>
      <c r="AW4" s="899"/>
      <c r="AX4" s="899"/>
      <c r="AY4" s="899"/>
      <c r="AZ4" s="899"/>
      <c r="BA4" s="899"/>
      <c r="BB4" s="899"/>
      <c r="BC4" s="899"/>
      <c r="BD4" s="899"/>
      <c r="BE4" s="899"/>
      <c r="BF4" s="281"/>
      <c r="BG4" s="281"/>
    </row>
    <row r="5" spans="1:59" s="285" customFormat="1" ht="159.75" customHeight="1" thickBot="1">
      <c r="A5" s="895"/>
      <c r="B5" s="893"/>
      <c r="C5" s="893"/>
      <c r="D5" s="893"/>
      <c r="E5" s="893"/>
      <c r="F5" s="902"/>
      <c r="G5" s="893"/>
      <c r="H5" s="893"/>
      <c r="I5" s="893"/>
      <c r="J5" s="893"/>
      <c r="K5" s="893"/>
      <c r="L5" s="897"/>
      <c r="M5" s="893"/>
      <c r="N5" s="897"/>
      <c r="O5" s="893"/>
      <c r="P5" s="897"/>
      <c r="Q5" s="893"/>
      <c r="R5" s="897"/>
      <c r="S5" s="895"/>
      <c r="T5" s="895"/>
      <c r="U5" s="897"/>
      <c r="V5" s="913"/>
      <c r="W5" s="897"/>
      <c r="X5" s="822"/>
      <c r="Y5" s="897"/>
      <c r="Z5" s="845"/>
      <c r="AA5" s="897"/>
      <c r="AB5" s="921"/>
      <c r="AC5" s="650" t="s">
        <v>478</v>
      </c>
      <c r="AD5" s="650" t="s">
        <v>57</v>
      </c>
      <c r="AE5" s="308">
        <f t="shared" si="0"/>
        <v>0.25</v>
      </c>
      <c r="AF5" s="650" t="s">
        <v>229</v>
      </c>
      <c r="AG5" s="303">
        <f t="shared" si="1"/>
        <v>0.15</v>
      </c>
      <c r="AH5" s="303">
        <f t="shared" si="2"/>
        <v>0.4</v>
      </c>
      <c r="AI5" s="650" t="s">
        <v>230</v>
      </c>
      <c r="AJ5" s="650" t="s">
        <v>24</v>
      </c>
      <c r="AK5" s="650" t="s">
        <v>479</v>
      </c>
      <c r="AL5" s="308">
        <f>+AM4*AH5</f>
        <v>0.13999999999999999</v>
      </c>
      <c r="AM5" s="308">
        <f>+AM4-AL5</f>
        <v>0.21</v>
      </c>
      <c r="AN5" s="845"/>
      <c r="AO5" s="917"/>
      <c r="AP5" s="283">
        <v>2</v>
      </c>
      <c r="AQ5" s="650" t="s">
        <v>480</v>
      </c>
      <c r="AR5" s="650" t="s">
        <v>148</v>
      </c>
      <c r="AS5" s="284">
        <v>45658</v>
      </c>
      <c r="AT5" s="284">
        <v>46022</v>
      </c>
      <c r="AU5" s="650" t="s">
        <v>481</v>
      </c>
      <c r="AV5" s="893"/>
      <c r="AW5" s="893"/>
      <c r="AX5" s="893"/>
      <c r="AY5" s="893"/>
      <c r="AZ5" s="893"/>
      <c r="BA5" s="893"/>
      <c r="BB5" s="893"/>
      <c r="BC5" s="893"/>
      <c r="BD5" s="893"/>
      <c r="BE5" s="893"/>
      <c r="BF5" s="283"/>
      <c r="BG5" s="283"/>
    </row>
    <row r="6" spans="1:59" s="285" customFormat="1" ht="147">
      <c r="A6" s="894" t="s">
        <v>51</v>
      </c>
      <c r="B6" s="892" t="s">
        <v>111</v>
      </c>
      <c r="C6" s="892" t="s">
        <v>70</v>
      </c>
      <c r="D6" s="892" t="s">
        <v>79</v>
      </c>
      <c r="E6" s="892" t="s">
        <v>36</v>
      </c>
      <c r="F6" s="901" t="s">
        <v>482</v>
      </c>
      <c r="G6" s="892" t="s">
        <v>483</v>
      </c>
      <c r="H6" s="892" t="s">
        <v>484</v>
      </c>
      <c r="I6" s="892" t="s">
        <v>485</v>
      </c>
      <c r="J6" s="892" t="s">
        <v>99</v>
      </c>
      <c r="K6" s="892">
        <v>1</v>
      </c>
      <c r="L6" s="896">
        <f>IF(J6="Diaria",+(K6/360),IF(J6="Semanal",+(K6/52),IF(J6="Mensual",+(K6/12),IF(J6="Bimestral",+(K6/6),IF(J6="Trimestral",+(K6/4),IF(J6="Semestral",+(K6/2),IF(J6="Anual",+(K6/1),"")))))))</f>
        <v>1</v>
      </c>
      <c r="M6" s="892" t="s">
        <v>47</v>
      </c>
      <c r="N6" s="896">
        <f>IF(M6="Menor al 1% del patrimonio de la Lotería de Bogotá",20%,IF(M6="Entre el 1% y el 3% del patrimonio de la Lotería de Bogotá",40%,IF(M6="Entre el 3% y el 6% del patrimonio de la Lotería de Bogotá",60%,IF(M6="Entre el 6% y el 10% del patrimonio de la Lotería de Bogotá",80%,IF(M6="Mayor al 10% del patrimonio de la Lotería de Bogotá",100%,IF(M6="NA",0%,""))))))</f>
        <v>0.4</v>
      </c>
      <c r="O6" s="892" t="s">
        <v>48</v>
      </c>
      <c r="P6" s="896">
        <f>IF(O6="El riesgo afecta la imagen de algún área de la organización",20%,IF(O6="El riesgo afecta la imagen de la entidad internamente, de conocimiento general nivel interno, de junta directiva y accionistas y/o de proveedores",40%,IF(O6="El riesgo afecta la imagen de la entidad con algunos usuarios de relevancia frente al logro de los objetivos",60%,IF(O6="El riesgo afecta la imagen de la entidad con efecto publicitario sostenido a nivel de sector administrativo, nivel departamental o municipal",80%,IF(O6="El riesgo afecta la imagen de la entidad a nivel nacional, con efecto publicitario sostenido a nivel país",100%,IF(O6="NA",0%,""))))))</f>
        <v>0.4</v>
      </c>
      <c r="Q6" s="892" t="s">
        <v>73</v>
      </c>
      <c r="R6" s="896">
        <f>IF(Q6="Interrupción de la operación por menos de un día",20%,IF(Q6="Interrupción de la operación por un día completo",40%,IF(Q6="Interrupción de la operación mayor a 1 día y menor a 2 días",60%,IF(Q6="Interrupción de la operación por dos días completos",80%,IF(Q6="Interrupción de la operación por más de dos días",100%,IF(Q6="NA",0%,""))))))</f>
        <v>0</v>
      </c>
      <c r="S6" s="894" t="s">
        <v>60</v>
      </c>
      <c r="T6" s="894" t="s">
        <v>45</v>
      </c>
      <c r="U6" s="896">
        <f>+MAX(N6,P6,R6)</f>
        <v>0.4</v>
      </c>
      <c r="V6" s="914" t="str">
        <f>IF(L6&lt;=20%,"Muy baja",IF(L6&lt;=40%,"Baja",IF(L6&lt;=60%,"Media",IF(L6&lt;=80%,"Alta",IF(L6&lt;=100%,"Muy alta",IF(L6&gt;=100%,"Muy alta",""))))))</f>
        <v>Muy alta</v>
      </c>
      <c r="W6" s="896">
        <f>+IFERROR(VLOOKUP(V6,formulas!$F$1:$G$6,2,FALSE),"")</f>
        <v>1</v>
      </c>
      <c r="X6" s="820" t="str">
        <f>IF(U6=20%,"Leve",IF(U6=40%,"Menor",IF(U6=60%,"Moderado",IF(U6=80%,"Mayor",IF(U6=100%,"Catastrófico","")))))</f>
        <v>Menor</v>
      </c>
      <c r="Y6" s="896">
        <f>+IFERROR(VLOOKUP(X6,formulas!$H$1:$I$6,2,FALSE),"")</f>
        <v>0.4</v>
      </c>
      <c r="Z6" s="843" t="str">
        <f>+IFERROR(VLOOKUP(V6&amp;X6,formulas!$C$2:$D$26,2,FALSE),"")</f>
        <v>Alto</v>
      </c>
      <c r="AA6" s="896">
        <f>IF(Z6="Bajo",25%,IF(Z6="Moderado",50%,IF(Z6="Alto",75%,IF(Z6="Extremo",100%,""))))</f>
        <v>0.75</v>
      </c>
      <c r="AB6" s="920" t="s">
        <v>486</v>
      </c>
      <c r="AC6" s="651" t="s">
        <v>487</v>
      </c>
      <c r="AD6" s="651" t="s">
        <v>57</v>
      </c>
      <c r="AE6" s="305">
        <f t="shared" si="0"/>
        <v>0.25</v>
      </c>
      <c r="AF6" s="651" t="s">
        <v>229</v>
      </c>
      <c r="AG6" s="306">
        <f t="shared" si="1"/>
        <v>0.15</v>
      </c>
      <c r="AH6" s="306">
        <f t="shared" si="2"/>
        <v>0.4</v>
      </c>
      <c r="AI6" s="651" t="s">
        <v>230</v>
      </c>
      <c r="AJ6" s="651" t="s">
        <v>24</v>
      </c>
      <c r="AK6" s="651" t="s">
        <v>475</v>
      </c>
      <c r="AL6" s="307">
        <f>+AA6*AH6</f>
        <v>0.30000000000000004</v>
      </c>
      <c r="AM6" s="307">
        <f>+AA6-AL6</f>
        <v>0.44999999999999996</v>
      </c>
      <c r="AN6" s="843" t="str">
        <f>+IF(C6="Corrupción","Moderado",IF(AM7&lt;=25%,"Bajo",IF(AM7&lt;=50%,"Moderado",IF(AM7&lt;=75%,"Alto",IF(AM7&gt;75%,"Extremo","")))))</f>
        <v>Moderado</v>
      </c>
      <c r="AO6" s="916" t="s">
        <v>59</v>
      </c>
      <c r="AP6" s="286">
        <v>1</v>
      </c>
      <c r="AQ6" s="651" t="s">
        <v>488</v>
      </c>
      <c r="AR6" s="651" t="s">
        <v>148</v>
      </c>
      <c r="AS6" s="287">
        <v>45658</v>
      </c>
      <c r="AT6" s="287">
        <v>46022</v>
      </c>
      <c r="AU6" s="481" t="s">
        <v>489</v>
      </c>
      <c r="AV6" s="892"/>
      <c r="AW6" s="892"/>
      <c r="AX6" s="892"/>
      <c r="AY6" s="892"/>
      <c r="AZ6" s="892"/>
      <c r="BA6" s="892"/>
      <c r="BB6" s="892"/>
      <c r="BC6" s="892"/>
      <c r="BD6" s="892"/>
      <c r="BE6" s="892"/>
      <c r="BF6" s="288"/>
      <c r="BG6" s="288"/>
    </row>
    <row r="7" spans="1:59" s="285" customFormat="1" ht="181.5" customHeight="1" thickBot="1">
      <c r="A7" s="895"/>
      <c r="B7" s="893"/>
      <c r="C7" s="893"/>
      <c r="D7" s="893"/>
      <c r="E7" s="893"/>
      <c r="F7" s="902"/>
      <c r="G7" s="893"/>
      <c r="H7" s="893"/>
      <c r="I7" s="893"/>
      <c r="J7" s="893"/>
      <c r="K7" s="893"/>
      <c r="L7" s="897"/>
      <c r="M7" s="893"/>
      <c r="N7" s="897"/>
      <c r="O7" s="893"/>
      <c r="P7" s="897"/>
      <c r="Q7" s="893"/>
      <c r="R7" s="897"/>
      <c r="S7" s="895"/>
      <c r="T7" s="895"/>
      <c r="U7" s="897"/>
      <c r="V7" s="913"/>
      <c r="W7" s="897"/>
      <c r="X7" s="822"/>
      <c r="Y7" s="897"/>
      <c r="Z7" s="845"/>
      <c r="AA7" s="897"/>
      <c r="AB7" s="921"/>
      <c r="AC7" s="650" t="s">
        <v>474</v>
      </c>
      <c r="AD7" s="650" t="s">
        <v>57</v>
      </c>
      <c r="AE7" s="301">
        <f t="shared" si="0"/>
        <v>0.25</v>
      </c>
      <c r="AF7" s="650" t="s">
        <v>229</v>
      </c>
      <c r="AG7" s="303">
        <f t="shared" si="1"/>
        <v>0.15</v>
      </c>
      <c r="AH7" s="303">
        <f t="shared" si="2"/>
        <v>0.4</v>
      </c>
      <c r="AI7" s="650" t="s">
        <v>230</v>
      </c>
      <c r="AJ7" s="650" t="s">
        <v>24</v>
      </c>
      <c r="AK7" s="650" t="s">
        <v>475</v>
      </c>
      <c r="AL7" s="308">
        <f>+AM6*AH7</f>
        <v>0.18</v>
      </c>
      <c r="AM7" s="308">
        <f>+AM6-AL7</f>
        <v>0.26999999999999996</v>
      </c>
      <c r="AN7" s="845"/>
      <c r="AO7" s="917"/>
      <c r="AP7" s="283">
        <v>2</v>
      </c>
      <c r="AQ7" s="650" t="s">
        <v>476</v>
      </c>
      <c r="AR7" s="650"/>
      <c r="AS7" s="284"/>
      <c r="AT7" s="284"/>
      <c r="AU7" s="650"/>
      <c r="AV7" s="893"/>
      <c r="AW7" s="893"/>
      <c r="AX7" s="893"/>
      <c r="AY7" s="893"/>
      <c r="AZ7" s="893"/>
      <c r="BA7" s="893"/>
      <c r="BB7" s="893"/>
      <c r="BC7" s="893"/>
      <c r="BD7" s="893"/>
      <c r="BE7" s="893"/>
      <c r="BF7" s="283"/>
      <c r="BG7" s="283"/>
    </row>
    <row r="8" spans="1:59" s="285" customFormat="1" ht="117.75" customHeight="1">
      <c r="A8" s="894" t="s">
        <v>231</v>
      </c>
      <c r="B8" s="892" t="s">
        <v>111</v>
      </c>
      <c r="C8" s="892" t="s">
        <v>70</v>
      </c>
      <c r="D8" s="892" t="s">
        <v>12</v>
      </c>
      <c r="E8" s="892" t="s">
        <v>36</v>
      </c>
      <c r="F8" s="901" t="s">
        <v>490</v>
      </c>
      <c r="G8" s="892" t="s">
        <v>491</v>
      </c>
      <c r="H8" s="892" t="s">
        <v>492</v>
      </c>
      <c r="I8" s="892" t="s">
        <v>493</v>
      </c>
      <c r="J8" s="892" t="s">
        <v>66</v>
      </c>
      <c r="K8" s="892">
        <v>3</v>
      </c>
      <c r="L8" s="896">
        <f>IF(J8="Diaria",+(K8/360),IF(J8="Semanal",+(K8/52),IF(J8="Mensual",+(K8/12),IF(J8="Bimestral",+(K8/6),IF(J8="Trimestral",+(K8/4),IF(J8="Semestral",+(K8/2),IF(J8="Anual",+(K8/1),"")))))))</f>
        <v>0.25</v>
      </c>
      <c r="M8" s="892" t="s">
        <v>47</v>
      </c>
      <c r="N8" s="896">
        <f>IF(M8="Menor al 1% del patrimonio de la Lotería de Bogotá",20%,IF(M8="Entre el 1% y el 3% del patrimonio de la Lotería de Bogotá",40%,IF(M8="Entre el 3% y el 6% del patrimonio de la Lotería de Bogotá",60%,IF(M8="Entre el 6% y el 10% del patrimonio de la Lotería de Bogotá",80%,IF(M8="Mayor al 10% del patrimonio de la Lotería de Bogotá",100%,IF(M8="NA",0%,""))))))</f>
        <v>0.4</v>
      </c>
      <c r="O8" s="892" t="s">
        <v>48</v>
      </c>
      <c r="P8" s="896">
        <f>IF(O8="El riesgo afecta la imagen de algún área de la organización",20%,IF(O8="El riesgo afecta la imagen de la entidad internamente, de conocimiento general nivel interno, de junta directiva y accionistas y/o de proveedores",40%,IF(O8="El riesgo afecta la imagen de la entidad con algunos usuarios de relevancia frente al logro de los objetivos",60%,IF(O8="El riesgo afecta la imagen de la entidad con efecto publicitario sostenido a nivel de sector administrativo, nivel departamental o municipal",80%,IF(O8="El riesgo afecta la imagen de la entidad a nivel nacional, con efecto publicitario sostenido a nivel país",100%,IF(O8="NA",0%,""))))))</f>
        <v>0.4</v>
      </c>
      <c r="Q8" s="892" t="s">
        <v>73</v>
      </c>
      <c r="R8" s="896">
        <f>IF(Q8="Interrupción de la operación por menos de un día",20%,IF(Q8="Interrupción de la operación por un día completo",40%,IF(Q8="Interrupción de la operación mayor a 1 día y menor a 2 días",60%,IF(Q8="Interrupción de la operación por dos días completos",80%,IF(Q8="Interrupción de la operación por más de dos días",100%,IF(Q8="NA",0%,""))))))</f>
        <v>0</v>
      </c>
      <c r="S8" s="894" t="s">
        <v>73</v>
      </c>
      <c r="T8" s="894" t="s">
        <v>73</v>
      </c>
      <c r="U8" s="896">
        <f>+MAX(N8,P8,R8)</f>
        <v>0.4</v>
      </c>
      <c r="V8" s="914" t="str">
        <f>IF(L8&lt;=20%,"Muy baja",IF(L8&lt;=40%,"Baja",IF(L8&lt;=60%,"Media",IF(L8&lt;=80%,"Alta",IF(L8&lt;=100%,"Muy alta",IF(L8&gt;=100%,"Muy alta",""))))))</f>
        <v>Baja</v>
      </c>
      <c r="W8" s="896">
        <f>+IFERROR(VLOOKUP(V8,formulas!$F$1:$G$6,2,FALSE),"")</f>
        <v>0.4</v>
      </c>
      <c r="X8" s="820" t="str">
        <f>IF(U8=20%,"Leve",IF(U8=40%,"Menor",IF(U8=60%,"Moderado",IF(U8=80%,"Mayor",IF(U8=100%,"Catastrófico","")))))</f>
        <v>Menor</v>
      </c>
      <c r="Y8" s="896">
        <f>+IFERROR(VLOOKUP(X8,formulas!$H$1:$I$6,2,FALSE),"")</f>
        <v>0.4</v>
      </c>
      <c r="Z8" s="843" t="str">
        <f>+IFERROR(VLOOKUP(V8&amp;X8,formulas!$C$2:$D$26,2,FALSE),"")</f>
        <v>Moderado</v>
      </c>
      <c r="AA8" s="896">
        <f>IF(Z8="Bajo",25%,IF(Z8="Moderado",50%,IF(Z8="Alto",75%,IF(Z8="Extremo",100%,""))))</f>
        <v>0.5</v>
      </c>
      <c r="AB8" s="920" t="s">
        <v>494</v>
      </c>
      <c r="AC8" s="651" t="s">
        <v>495</v>
      </c>
      <c r="AD8" s="651" t="s">
        <v>57</v>
      </c>
      <c r="AE8" s="305">
        <f t="shared" si="0"/>
        <v>0.25</v>
      </c>
      <c r="AF8" s="651" t="s">
        <v>229</v>
      </c>
      <c r="AG8" s="306">
        <f t="shared" si="1"/>
        <v>0.15</v>
      </c>
      <c r="AH8" s="306">
        <f t="shared" si="2"/>
        <v>0.4</v>
      </c>
      <c r="AI8" s="651" t="s">
        <v>230</v>
      </c>
      <c r="AJ8" s="651" t="s">
        <v>24</v>
      </c>
      <c r="AK8" s="651" t="s">
        <v>496</v>
      </c>
      <c r="AL8" s="307">
        <f>+AA8*AH8</f>
        <v>0.2</v>
      </c>
      <c r="AM8" s="307">
        <f>+AA8-AL8</f>
        <v>0.3</v>
      </c>
      <c r="AN8" s="843" t="str">
        <f>+IF(C8="Corrupción","Moderado",IF(AM9&lt;=25%,"Bajo",IF(AM9&lt;=50%,"Moderado",IF(AM9&lt;=75%,"Alto",IF(AM9&gt;75%,"Extremo","")))))</f>
        <v>Bajo</v>
      </c>
      <c r="AO8" s="916" t="s">
        <v>59</v>
      </c>
      <c r="AP8" s="286">
        <v>1</v>
      </c>
      <c r="AQ8" s="651" t="s">
        <v>497</v>
      </c>
      <c r="AR8" s="651" t="s">
        <v>148</v>
      </c>
      <c r="AS8" s="287">
        <v>45658</v>
      </c>
      <c r="AT8" s="287">
        <v>46022</v>
      </c>
      <c r="AU8" s="651" t="s">
        <v>498</v>
      </c>
      <c r="AV8" s="892"/>
      <c r="AW8" s="892"/>
      <c r="AX8" s="892"/>
      <c r="AY8" s="892"/>
      <c r="AZ8" s="892"/>
      <c r="BA8" s="892"/>
      <c r="BB8" s="892"/>
      <c r="BC8" s="892"/>
      <c r="BD8" s="892"/>
      <c r="BE8" s="892"/>
      <c r="BF8" s="288"/>
      <c r="BG8" s="288"/>
    </row>
    <row r="9" spans="1:59" s="285" customFormat="1" ht="99.75" customHeight="1" thickBot="1">
      <c r="A9" s="895"/>
      <c r="B9" s="893"/>
      <c r="C9" s="893"/>
      <c r="D9" s="893"/>
      <c r="E9" s="893"/>
      <c r="F9" s="902"/>
      <c r="G9" s="893"/>
      <c r="H9" s="893"/>
      <c r="I9" s="893"/>
      <c r="J9" s="893"/>
      <c r="K9" s="893"/>
      <c r="L9" s="897"/>
      <c r="M9" s="893"/>
      <c r="N9" s="897"/>
      <c r="O9" s="893"/>
      <c r="P9" s="897"/>
      <c r="Q9" s="893"/>
      <c r="R9" s="897"/>
      <c r="S9" s="895"/>
      <c r="T9" s="895"/>
      <c r="U9" s="897"/>
      <c r="V9" s="913"/>
      <c r="W9" s="897"/>
      <c r="X9" s="822"/>
      <c r="Y9" s="897"/>
      <c r="Z9" s="845"/>
      <c r="AA9" s="897"/>
      <c r="AB9" s="921"/>
      <c r="AC9" s="650" t="s">
        <v>499</v>
      </c>
      <c r="AD9" s="650" t="s">
        <v>39</v>
      </c>
      <c r="AE9" s="301">
        <f t="shared" si="0"/>
        <v>0.15</v>
      </c>
      <c r="AF9" s="650" t="s">
        <v>229</v>
      </c>
      <c r="AG9" s="303">
        <f t="shared" si="1"/>
        <v>0.15</v>
      </c>
      <c r="AH9" s="303">
        <f t="shared" si="2"/>
        <v>0.3</v>
      </c>
      <c r="AI9" s="650" t="s">
        <v>230</v>
      </c>
      <c r="AJ9" s="650" t="s">
        <v>24</v>
      </c>
      <c r="AK9" s="650" t="s">
        <v>500</v>
      </c>
      <c r="AL9" s="308">
        <f>+AM8*AH9</f>
        <v>0.09</v>
      </c>
      <c r="AM9" s="308">
        <f>+AM8-AL9</f>
        <v>0.21</v>
      </c>
      <c r="AN9" s="845"/>
      <c r="AO9" s="917"/>
      <c r="AP9" s="283">
        <v>2</v>
      </c>
      <c r="AQ9" s="650" t="s">
        <v>501</v>
      </c>
      <c r="AR9" s="650" t="s">
        <v>148</v>
      </c>
      <c r="AS9" s="284">
        <v>45658</v>
      </c>
      <c r="AT9" s="284">
        <v>46022</v>
      </c>
      <c r="AU9" s="650" t="s">
        <v>502</v>
      </c>
      <c r="AV9" s="893"/>
      <c r="AW9" s="893"/>
      <c r="AX9" s="893"/>
      <c r="AY9" s="893"/>
      <c r="AZ9" s="893"/>
      <c r="BA9" s="893"/>
      <c r="BB9" s="893"/>
      <c r="BC9" s="893"/>
      <c r="BD9" s="893"/>
      <c r="BE9" s="893"/>
      <c r="BF9" s="283"/>
      <c r="BG9" s="283"/>
    </row>
    <row r="10" spans="1:59" s="285" customFormat="1" ht="141" customHeight="1">
      <c r="A10" s="894" t="s">
        <v>231</v>
      </c>
      <c r="B10" s="892" t="s">
        <v>111</v>
      </c>
      <c r="C10" s="892" t="s">
        <v>12</v>
      </c>
      <c r="D10" s="892" t="s">
        <v>12</v>
      </c>
      <c r="E10" s="892" t="s">
        <v>36</v>
      </c>
      <c r="F10" s="901" t="s">
        <v>503</v>
      </c>
      <c r="G10" s="892" t="s">
        <v>504</v>
      </c>
      <c r="H10" s="892" t="s">
        <v>505</v>
      </c>
      <c r="I10" s="892" t="s">
        <v>506</v>
      </c>
      <c r="J10" s="892" t="s">
        <v>50</v>
      </c>
      <c r="K10" s="892">
        <v>6</v>
      </c>
      <c r="L10" s="896">
        <f>IF(J10="Diaria",+(K10/360),IF(J10="Semanal",+(K10/52),IF(J10="Mensual",+(K10/12),IF(J10="Bimestral",+(K10/6),IF(J10="Trimestral",+(K10/4),IF(J10="Semestral",+(K10/2),IF(J10="Anual",+(K10/1),"")))))))</f>
        <v>0.11538461538461539</v>
      </c>
      <c r="M10" s="892" t="s">
        <v>47</v>
      </c>
      <c r="N10" s="896">
        <v>0.4</v>
      </c>
      <c r="O10" s="892" t="s">
        <v>64</v>
      </c>
      <c r="P10" s="896">
        <v>0.4</v>
      </c>
      <c r="Q10" s="892" t="s">
        <v>65</v>
      </c>
      <c r="R10" s="896">
        <f>IF(Q10="Interrupción de la operación por menos de un día",20%,IF(Q10="Interrupción de la operación por un día completo",40%,IF(Q10="Interrupción de la operación mayor a 1 día y menor a 2 días",60%,IF(Q10="Interrupción de la operación por dos días completos",80%,IF(Q10="Interrupción de la operación por más de dos días",100%,IF(Q10="NA",0%,""))))))</f>
        <v>0.6</v>
      </c>
      <c r="S10" s="894" t="s">
        <v>60</v>
      </c>
      <c r="T10" s="894" t="s">
        <v>45</v>
      </c>
      <c r="U10" s="896">
        <f>+MAX(N10,P10,R10)</f>
        <v>0.6</v>
      </c>
      <c r="V10" s="914" t="str">
        <f>IF(L10&lt;=20%,"Muy baja",IF(L10&lt;=40%,"Baja",IF(L10&lt;=60%,"Media",IF(L10&lt;=80%,"Alta",IF(L10&lt;=100%,"Muy alta",IF(L10&gt;=100%,"Muy alta",""))))))</f>
        <v>Muy baja</v>
      </c>
      <c r="W10" s="896">
        <f>+IFERROR(VLOOKUP(V10,formulas!$F$1:$G$6,2,FALSE),"")</f>
        <v>0.2</v>
      </c>
      <c r="X10" s="820" t="str">
        <f>IF(U10=20%,"Leve",IF(U10=40%,"Menor",IF(U10=60%,"Moderado",IF(U10=80%,"Mayor",IF(U10=100%,"Catastrófico","")))))</f>
        <v>Moderado</v>
      </c>
      <c r="Y10" s="896">
        <f>+IFERROR(VLOOKUP(X10,formulas!$H$1:$I$6,2,FALSE),"")</f>
        <v>0.6</v>
      </c>
      <c r="Z10" s="843" t="str">
        <f>+IFERROR(VLOOKUP(V10&amp;X10,formulas!$C$2:$D$26,2,FALSE),"")</f>
        <v>Moderado</v>
      </c>
      <c r="AA10" s="896">
        <f>IF(Z10="Bajo",25%,IF(Z10="Moderado",50%,IF(Z10="Alto",75%,IF(Z10="Extremo",100%,""))))</f>
        <v>0.5</v>
      </c>
      <c r="AB10" s="920" t="s">
        <v>507</v>
      </c>
      <c r="AC10" s="651" t="s">
        <v>508</v>
      </c>
      <c r="AD10" s="651" t="s">
        <v>57</v>
      </c>
      <c r="AE10" s="305">
        <v>0.25</v>
      </c>
      <c r="AF10" s="651" t="s">
        <v>229</v>
      </c>
      <c r="AG10" s="306">
        <f t="shared" si="1"/>
        <v>0.15</v>
      </c>
      <c r="AH10" s="306">
        <f t="shared" si="2"/>
        <v>0.4</v>
      </c>
      <c r="AI10" s="651" t="s">
        <v>230</v>
      </c>
      <c r="AJ10" s="651" t="s">
        <v>24</v>
      </c>
      <c r="AK10" s="651" t="s">
        <v>496</v>
      </c>
      <c r="AL10" s="307">
        <f>+AA10*AH10</f>
        <v>0.2</v>
      </c>
      <c r="AM10" s="307">
        <f>+AA10-AL10</f>
        <v>0.3</v>
      </c>
      <c r="AN10" s="843" t="str">
        <f>+IF(C10="Corrupción","Moderado",IF(AM12&lt;=25%,"Bajo",IF(AM12&lt;=50%,"Moderado",IF(AM12&lt;=75%,"Alto",IF(AM12&gt;75%,"Extremo","")))))</f>
        <v>Bajo</v>
      </c>
      <c r="AO10" s="916" t="s">
        <v>59</v>
      </c>
      <c r="AP10" s="286">
        <v>1</v>
      </c>
      <c r="AQ10" s="651" t="s">
        <v>509</v>
      </c>
      <c r="AR10" s="651" t="s">
        <v>148</v>
      </c>
      <c r="AS10" s="287">
        <v>45658</v>
      </c>
      <c r="AT10" s="287">
        <v>45688</v>
      </c>
      <c r="AU10" s="651" t="s">
        <v>510</v>
      </c>
      <c r="AV10" s="892"/>
      <c r="AW10" s="892"/>
      <c r="AX10" s="892"/>
      <c r="AY10" s="892"/>
      <c r="AZ10" s="892"/>
      <c r="BA10" s="892"/>
      <c r="BB10" s="892"/>
      <c r="BC10" s="892"/>
      <c r="BD10" s="892"/>
      <c r="BE10" s="892"/>
      <c r="BF10" s="288"/>
      <c r="BG10" s="288"/>
    </row>
    <row r="11" spans="1:59" s="285" customFormat="1" ht="143.25" customHeight="1">
      <c r="A11" s="903"/>
      <c r="B11" s="899"/>
      <c r="C11" s="899"/>
      <c r="D11" s="899"/>
      <c r="E11" s="899"/>
      <c r="F11" s="904"/>
      <c r="G11" s="899"/>
      <c r="H11" s="899"/>
      <c r="I11" s="899"/>
      <c r="J11" s="899"/>
      <c r="K11" s="899"/>
      <c r="L11" s="900"/>
      <c r="M11" s="899"/>
      <c r="N11" s="900"/>
      <c r="O11" s="899"/>
      <c r="P11" s="900"/>
      <c r="Q11" s="899"/>
      <c r="R11" s="900"/>
      <c r="S11" s="903"/>
      <c r="T11" s="903"/>
      <c r="U11" s="900"/>
      <c r="V11" s="915"/>
      <c r="W11" s="900"/>
      <c r="X11" s="821"/>
      <c r="Y11" s="900"/>
      <c r="Z11" s="844"/>
      <c r="AA11" s="900"/>
      <c r="AB11" s="923"/>
      <c r="AC11" s="649" t="s">
        <v>511</v>
      </c>
      <c r="AD11" s="649" t="s">
        <v>39</v>
      </c>
      <c r="AE11" s="300">
        <v>0.25</v>
      </c>
      <c r="AF11" s="649" t="s">
        <v>229</v>
      </c>
      <c r="AG11" s="302">
        <f>IF(AF11="Manual",15%,IF(AF11="Automático",25%,""))</f>
        <v>0.15</v>
      </c>
      <c r="AH11" s="302">
        <f t="shared" si="2"/>
        <v>0.4</v>
      </c>
      <c r="AI11" s="649" t="s">
        <v>230</v>
      </c>
      <c r="AJ11" s="649" t="s">
        <v>24</v>
      </c>
      <c r="AK11" s="649" t="s">
        <v>512</v>
      </c>
      <c r="AL11" s="304">
        <f>+AM10*AH11</f>
        <v>0.12</v>
      </c>
      <c r="AM11" s="304">
        <f>+AM10-AL11</f>
        <v>0.18</v>
      </c>
      <c r="AN11" s="844"/>
      <c r="AO11" s="922"/>
      <c r="AP11" s="289">
        <v>2</v>
      </c>
      <c r="AQ11" s="649" t="s">
        <v>513</v>
      </c>
      <c r="AR11" s="649" t="s">
        <v>148</v>
      </c>
      <c r="AS11" s="280">
        <v>45658</v>
      </c>
      <c r="AT11" s="280">
        <v>46022</v>
      </c>
      <c r="AU11" s="649" t="s">
        <v>514</v>
      </c>
      <c r="AV11" s="899"/>
      <c r="AW11" s="899"/>
      <c r="AX11" s="899"/>
      <c r="AY11" s="899"/>
      <c r="AZ11" s="899"/>
      <c r="BA11" s="899"/>
      <c r="BB11" s="899"/>
      <c r="BC11" s="899"/>
      <c r="BD11" s="899"/>
      <c r="BE11" s="899"/>
      <c r="BF11" s="289"/>
      <c r="BG11" s="289"/>
    </row>
    <row r="12" spans="1:59" s="285" customFormat="1" ht="157.5" customHeight="1" thickBot="1">
      <c r="A12" s="895"/>
      <c r="B12" s="893"/>
      <c r="C12" s="893"/>
      <c r="D12" s="893"/>
      <c r="E12" s="893"/>
      <c r="F12" s="902"/>
      <c r="G12" s="893"/>
      <c r="H12" s="893"/>
      <c r="I12" s="893"/>
      <c r="J12" s="893"/>
      <c r="K12" s="893"/>
      <c r="L12" s="897"/>
      <c r="M12" s="893"/>
      <c r="N12" s="897"/>
      <c r="O12" s="893"/>
      <c r="P12" s="897"/>
      <c r="Q12" s="893"/>
      <c r="R12" s="897"/>
      <c r="S12" s="895"/>
      <c r="T12" s="895"/>
      <c r="U12" s="897"/>
      <c r="V12" s="913"/>
      <c r="W12" s="897"/>
      <c r="X12" s="822"/>
      <c r="Y12" s="897"/>
      <c r="Z12" s="845"/>
      <c r="AA12" s="897"/>
      <c r="AB12" s="921"/>
      <c r="AC12" s="650" t="s">
        <v>515</v>
      </c>
      <c r="AD12" s="650" t="s">
        <v>57</v>
      </c>
      <c r="AE12" s="301">
        <v>0.25</v>
      </c>
      <c r="AF12" s="650" t="s">
        <v>229</v>
      </c>
      <c r="AG12" s="303">
        <f>IF(AF12="Manual",15%,IF(AF12="Automático",25%,""))</f>
        <v>0.15</v>
      </c>
      <c r="AH12" s="303">
        <f t="shared" si="2"/>
        <v>0.4</v>
      </c>
      <c r="AI12" s="650" t="s">
        <v>230</v>
      </c>
      <c r="AJ12" s="650" t="s">
        <v>41</v>
      </c>
      <c r="AK12" s="650" t="s">
        <v>516</v>
      </c>
      <c r="AL12" s="308">
        <f>+AM11*AH12</f>
        <v>7.1999999999999995E-2</v>
      </c>
      <c r="AM12" s="308">
        <f>+AM11-AL12</f>
        <v>0.108</v>
      </c>
      <c r="AN12" s="845"/>
      <c r="AO12" s="917"/>
      <c r="AP12" s="283">
        <v>3</v>
      </c>
      <c r="AQ12" s="650" t="s">
        <v>517</v>
      </c>
      <c r="AR12" s="650" t="s">
        <v>148</v>
      </c>
      <c r="AS12" s="284">
        <v>45658</v>
      </c>
      <c r="AT12" s="284">
        <v>46022</v>
      </c>
      <c r="AU12" s="650" t="s">
        <v>518</v>
      </c>
      <c r="AV12" s="893"/>
      <c r="AW12" s="893"/>
      <c r="AX12" s="893"/>
      <c r="AY12" s="893"/>
      <c r="AZ12" s="893"/>
      <c r="BA12" s="893"/>
      <c r="BB12" s="893"/>
      <c r="BC12" s="893"/>
      <c r="BD12" s="893"/>
      <c r="BE12" s="893"/>
      <c r="BF12" s="283"/>
      <c r="BG12" s="283"/>
    </row>
    <row r="13" spans="1:59" s="285" customFormat="1" ht="168" customHeight="1">
      <c r="A13" s="894" t="s">
        <v>231</v>
      </c>
      <c r="B13" s="892" t="s">
        <v>111</v>
      </c>
      <c r="C13" s="892" t="s">
        <v>92</v>
      </c>
      <c r="D13" s="892" t="s">
        <v>79</v>
      </c>
      <c r="E13" s="892" t="s">
        <v>36</v>
      </c>
      <c r="F13" s="901" t="s">
        <v>519</v>
      </c>
      <c r="G13" s="892" t="s">
        <v>520</v>
      </c>
      <c r="H13" s="892" t="s">
        <v>521</v>
      </c>
      <c r="I13" s="892" t="s">
        <v>522</v>
      </c>
      <c r="J13" s="892" t="s">
        <v>66</v>
      </c>
      <c r="K13" s="892">
        <v>1</v>
      </c>
      <c r="L13" s="896">
        <f>IF(J13="Diaria",+(K13/360),IF(J13="Semanal",+(K13/52),IF(J13="Mensual",+(K13/12),IF(J13="Bimestral",+(K13/6),IF(J13="Trimestral",+(K13/4),IF(J13="Semestral",+(K13/2),IF(J13="Anual",+(K13/1),"")))))))</f>
        <v>8.3333333333333329E-2</v>
      </c>
      <c r="M13" s="892" t="s">
        <v>30</v>
      </c>
      <c r="N13" s="896">
        <f>IF(M13="Menor al 1% del patrimonio de la Lotería de Bogotá",20%,IF(M13="Entre el 1% y el 3% del patrimonio de la Lotería de Bogotá",40%,IF(M13="Entre el 3% y el 6% del patrimonio de la Lotería de Bogotá",60%,IF(M13="Entre el 6% y el 10% del patrimonio de la Lotería de Bogotá",80%,IF(M13="Mayor al 10% del patrimonio de la Lotería de Bogotá",100%,IF(M13="NA",0%,""))))))</f>
        <v>0.2</v>
      </c>
      <c r="O13" s="892" t="s">
        <v>64</v>
      </c>
      <c r="P13" s="898">
        <f>IF(O13="El riesgo afecta la imagen de algún área de la organización",20%,IF(O13="El riesgo afecta la imagen de la entidad internamente, de conocimiento general nivel interno, de junta directiva y accionistas y/o de proveedores",40%,IF(O13="El riesgo afecta la imagen de la entidad con algunos usuarios de relevancia frente al logro de los objetivos",60%,IF(O13="El riesgo afecta la imagen de la entidad con efecto publicitario sostenido a nivel de sector administrativo, nivel departamental o municipal",80%,IF(O13="El riesgo afecta la imagen de la entidad a nivel nacional, con efecto publicitario sostenido a nivel país",100%,IF(O13="NA",0%,""))))))</f>
        <v>0.6</v>
      </c>
      <c r="Q13" s="892" t="s">
        <v>73</v>
      </c>
      <c r="R13" s="896">
        <f>IF(Q13="Interrupción de la operación por menos de un día",20%,IF(Q13="Interrupción de la operación por un día completo",40%,IF(Q13="Interrupción de la operación mayor a 1 día y menor a 2 días",60%,IF(Q13="Interrupción de la operación por dos días completos",80%,IF(Q13="Interrupción de la operación por más de dos días",100%,IF(Q13="NA",0%,""))))))</f>
        <v>0</v>
      </c>
      <c r="S13" s="894" t="s">
        <v>60</v>
      </c>
      <c r="T13" s="894" t="s">
        <v>45</v>
      </c>
      <c r="U13" s="896">
        <f>+MAX(N13,P13,R13)</f>
        <v>0.6</v>
      </c>
      <c r="V13" s="914" t="str">
        <f>IF(L13&lt;=20%,"Muy baja",IF(L13&lt;=40%,"Baja",IF(L13&lt;=60%,"Media",IF(L13&lt;=80%,"Alta",IF(L13&lt;=100%,"Muy alta",IF(L13&gt;=100%,"Muy alta",""))))))</f>
        <v>Muy baja</v>
      </c>
      <c r="W13" s="896">
        <f>+IFERROR(VLOOKUP(V13,formulas!$F$1:$G$6,2,FALSE),"")</f>
        <v>0.2</v>
      </c>
      <c r="X13" s="820" t="str">
        <f>IF(U13=20%,"Leve",IF(U13=40%,"Menor",IF(U13=60%,"Moderado",IF(U13=80%,"Mayor",IF(U13=100%,"Catastrófico","")))))</f>
        <v>Moderado</v>
      </c>
      <c r="Y13" s="896">
        <f>+IFERROR(VLOOKUP(X13,formulas!$H$1:$I$6,2,FALSE),"")</f>
        <v>0.6</v>
      </c>
      <c r="Z13" s="843" t="str">
        <f>+IFERROR(VLOOKUP(V13&amp;X13,formulas!$C$2:$D$26,2,FALSE),"")</f>
        <v>Moderado</v>
      </c>
      <c r="AA13" s="896">
        <f>IF(Z13="Bajo",25%,IF(Z13="Moderado",50%,IF(Z13="Alto",75%,IF(Z13="Extremo",100%,""))))</f>
        <v>0.5</v>
      </c>
      <c r="AB13" s="920" t="s">
        <v>523</v>
      </c>
      <c r="AC13" s="288" t="s">
        <v>524</v>
      </c>
      <c r="AD13" s="651" t="s">
        <v>57</v>
      </c>
      <c r="AE13" s="305">
        <v>0.25</v>
      </c>
      <c r="AF13" s="651" t="s">
        <v>229</v>
      </c>
      <c r="AG13" s="306">
        <f t="shared" ref="AG13:AG18" si="3">IF(AF13="Manual",15%,IF(AF13="Automático",25%,""))</f>
        <v>0.15</v>
      </c>
      <c r="AH13" s="306">
        <f t="shared" ref="AH13:AH18" si="4">+AG13+AE13</f>
        <v>0.4</v>
      </c>
      <c r="AI13" s="651" t="s">
        <v>230</v>
      </c>
      <c r="AJ13" s="651" t="s">
        <v>41</v>
      </c>
      <c r="AK13" s="651" t="s">
        <v>73</v>
      </c>
      <c r="AL13" s="307">
        <f>+AA13*AH13</f>
        <v>0.2</v>
      </c>
      <c r="AM13" s="307">
        <f>+AA13-AL13</f>
        <v>0.3</v>
      </c>
      <c r="AN13" s="843" t="str">
        <f>+IF(C13="Corrupción","Moderado",IF(AM14&lt;=25%,"Bajo",IF(AM14&lt;=50%,"Moderado",IF(AM14&lt;=75%,"Alto",IF(AM14&gt;75%,"Extremo","")))))</f>
        <v>Bajo</v>
      </c>
      <c r="AO13" s="916" t="s">
        <v>59</v>
      </c>
      <c r="AP13" s="286">
        <v>1</v>
      </c>
      <c r="AQ13" s="651" t="s">
        <v>525</v>
      </c>
      <c r="AR13" s="287" t="s">
        <v>148</v>
      </c>
      <c r="AS13" s="287">
        <v>45658</v>
      </c>
      <c r="AT13" s="287">
        <v>46022</v>
      </c>
      <c r="AU13" s="287" t="s">
        <v>526</v>
      </c>
      <c r="AV13" s="892"/>
      <c r="AW13" s="892"/>
      <c r="AX13" s="892"/>
      <c r="AY13" s="892"/>
      <c r="AZ13" s="892"/>
      <c r="BA13" s="892"/>
      <c r="BB13" s="892"/>
      <c r="BC13" s="892"/>
      <c r="BD13" s="892"/>
      <c r="BE13" s="892"/>
      <c r="BF13" s="288"/>
      <c r="BG13" s="288"/>
    </row>
    <row r="14" spans="1:59" s="285" customFormat="1" ht="141" customHeight="1" thickBot="1">
      <c r="A14" s="895"/>
      <c r="B14" s="893"/>
      <c r="C14" s="893"/>
      <c r="D14" s="893"/>
      <c r="E14" s="893"/>
      <c r="F14" s="902"/>
      <c r="G14" s="893"/>
      <c r="H14" s="893"/>
      <c r="I14" s="893"/>
      <c r="J14" s="893"/>
      <c r="K14" s="893"/>
      <c r="L14" s="897"/>
      <c r="M14" s="893"/>
      <c r="N14" s="897"/>
      <c r="O14" s="893"/>
      <c r="P14" s="897"/>
      <c r="Q14" s="893"/>
      <c r="R14" s="897"/>
      <c r="S14" s="895"/>
      <c r="T14" s="895"/>
      <c r="U14" s="897"/>
      <c r="V14" s="913"/>
      <c r="W14" s="897"/>
      <c r="X14" s="822"/>
      <c r="Y14" s="897"/>
      <c r="Z14" s="845"/>
      <c r="AA14" s="897"/>
      <c r="AB14" s="921"/>
      <c r="AC14" s="650" t="s">
        <v>527</v>
      </c>
      <c r="AD14" s="650" t="s">
        <v>39</v>
      </c>
      <c r="AE14" s="301">
        <v>0.25</v>
      </c>
      <c r="AF14" s="650" t="s">
        <v>229</v>
      </c>
      <c r="AG14" s="303">
        <f t="shared" si="3"/>
        <v>0.15</v>
      </c>
      <c r="AH14" s="303">
        <f t="shared" si="4"/>
        <v>0.4</v>
      </c>
      <c r="AI14" s="650" t="s">
        <v>230</v>
      </c>
      <c r="AJ14" s="650" t="s">
        <v>24</v>
      </c>
      <c r="AK14" s="650" t="s">
        <v>528</v>
      </c>
      <c r="AL14" s="308">
        <f>+AM13*AH14</f>
        <v>0.12</v>
      </c>
      <c r="AM14" s="308">
        <f>+AM13-AL14</f>
        <v>0.18</v>
      </c>
      <c r="AN14" s="845"/>
      <c r="AO14" s="917"/>
      <c r="AP14" s="283">
        <v>2</v>
      </c>
      <c r="AQ14" s="650" t="s">
        <v>529</v>
      </c>
      <c r="AR14" s="650" t="s">
        <v>148</v>
      </c>
      <c r="AS14" s="284">
        <v>45658</v>
      </c>
      <c r="AT14" s="284">
        <v>46022</v>
      </c>
      <c r="AU14" s="650" t="s">
        <v>530</v>
      </c>
      <c r="AV14" s="893"/>
      <c r="AW14" s="893"/>
      <c r="AX14" s="893"/>
      <c r="AY14" s="893"/>
      <c r="AZ14" s="893"/>
      <c r="BA14" s="893"/>
      <c r="BB14" s="893"/>
      <c r="BC14" s="893"/>
      <c r="BD14" s="893"/>
      <c r="BE14" s="893"/>
      <c r="BF14" s="283"/>
      <c r="BG14" s="283"/>
    </row>
    <row r="15" spans="1:59" s="285" customFormat="1" ht="294">
      <c r="A15" s="894" t="s">
        <v>51</v>
      </c>
      <c r="B15" s="892" t="s">
        <v>111</v>
      </c>
      <c r="C15" s="892" t="s">
        <v>92</v>
      </c>
      <c r="D15" s="892" t="s">
        <v>79</v>
      </c>
      <c r="E15" s="892" t="s">
        <v>36</v>
      </c>
      <c r="F15" s="905" t="s">
        <v>531</v>
      </c>
      <c r="G15" s="907" t="s">
        <v>532</v>
      </c>
      <c r="H15" s="907" t="s">
        <v>533</v>
      </c>
      <c r="I15" s="909" t="s">
        <v>534</v>
      </c>
      <c r="J15" s="892" t="s">
        <v>95</v>
      </c>
      <c r="K15" s="892">
        <v>0</v>
      </c>
      <c r="L15" s="896">
        <f>IF(J15="Diaria",+(K15/360),IF(J15="Semanal",+(K15/52),IF(J15="Mensual",+(K15/12),IF(J15="Bimestral",+(K15/6),IF(J15="Trimestral",+(K15/4),IF(J15="Semestral",+(K15/2),IF(J15="Anual",+(K15/1),"")))))))</f>
        <v>0</v>
      </c>
      <c r="M15" s="892" t="s">
        <v>73</v>
      </c>
      <c r="N15" s="896">
        <f>IF(M15="Menor al 1% del patrimonio de la Lotería de Bogotá",20%,IF(M15="Entre el 1% y el 3% del patrimonio de la Lotería de Bogotá",40%,IF(M15="Entre el 3% y el 6% del patrimonio de la Lotería de Bogotá",60%,IF(M15="Entre el 6% y el 10% del patrimonio de la Lotería de Bogotá",80%,IF(M15="Mayor al 10% del patrimonio de la Lotería de Bogotá",100%,IF(M15="NA",0%,""))))))</f>
        <v>0</v>
      </c>
      <c r="O15" s="892" t="s">
        <v>64</v>
      </c>
      <c r="P15" s="896">
        <f>IF(O15="El riesgo afecta la imagen de algún área de la organización",20%,IF(O15="El riesgo afecta la imagen de la entidad internamente, de conocimiento general nivel interno, de junta directiva y accionistas y/o de proveedores",40%,IF(O15="El riesgo afecta la imagen de la entidad con algunos usuarios de relevancia frente al logro de los objetivos",60%,IF(O15="El riesgo afecta la imagen de la entidad con efecto publicitario sostenido a nivel de sector administrativo, nivel departamental o municipal",80%,IF(O15="El riesgo afecta la imagen de la entidad a nivel nacional, con efecto publicitario sostenido a nivel país",100%,IF(O15="NA",0%,""))))))</f>
        <v>0.6</v>
      </c>
      <c r="Q15" s="892" t="s">
        <v>73</v>
      </c>
      <c r="R15" s="896">
        <f>IF(Q15="Interrupción de la operación por menos de un día",20%,IF(Q15="Interrupción de la operación por un día completo",40%,IF(Q15="Interrupción de la operación mayor a 1 día y menor a 2 días",60%,IF(Q15="Interrupción de la operación por dos días completos",80%,IF(Q15="Interrupción de la operación por más de dos días",100%,IF(Q15="NA",0%,""))))))</f>
        <v>0</v>
      </c>
      <c r="S15" s="894" t="s">
        <v>72</v>
      </c>
      <c r="T15" s="894" t="s">
        <v>45</v>
      </c>
      <c r="U15" s="896">
        <f>+MAX(N15,P15,R15)</f>
        <v>0.6</v>
      </c>
      <c r="V15" s="914" t="str">
        <f>IF(L15&lt;=20%,"Muy baja",IF(L15&lt;=40%,"Baja",IF(L15&lt;=60%,"Media",IF(L15&lt;=80%,"Alta",IF(L15&lt;=100%,"Muy alta",IF(L15&gt;=100%,"Muy alta",""))))))</f>
        <v>Muy baja</v>
      </c>
      <c r="W15" s="896">
        <f>+IFERROR(VLOOKUP(V15,formulas!$F$1:$G$6,2,FALSE),"")</f>
        <v>0.2</v>
      </c>
      <c r="X15" s="820" t="str">
        <f>IF(U15=20%,"Leve",IF(U15=40%,"Menor",IF(U15=60%,"Moderado",IF(U15=80%,"Mayor",IF(U15=100%,"Catastrófico","")))))</f>
        <v>Moderado</v>
      </c>
      <c r="Y15" s="896">
        <f>+IFERROR(VLOOKUP(X15,formulas!$H$1:$I$6,2,FALSE),"")</f>
        <v>0.6</v>
      </c>
      <c r="Z15" s="843" t="str">
        <f>+IFERROR(VLOOKUP(V15&amp;X15,formulas!$C$2:$D$26,2,FALSE),"")</f>
        <v>Moderado</v>
      </c>
      <c r="AA15" s="896">
        <f>IF(Z15="Bajo",25%,IF(Z15="Moderado",50%,IF(Z15="Alto",75%,IF(Z15="Extremo",100%,""))))</f>
        <v>0.5</v>
      </c>
      <c r="AB15" s="918" t="s">
        <v>535</v>
      </c>
      <c r="AC15" s="290" t="s">
        <v>536</v>
      </c>
      <c r="AD15" s="651" t="s">
        <v>57</v>
      </c>
      <c r="AE15" s="305">
        <v>0.25</v>
      </c>
      <c r="AF15" s="651" t="s">
        <v>229</v>
      </c>
      <c r="AG15" s="306">
        <f t="shared" si="3"/>
        <v>0.15</v>
      </c>
      <c r="AH15" s="306">
        <f t="shared" si="4"/>
        <v>0.4</v>
      </c>
      <c r="AI15" s="651" t="s">
        <v>230</v>
      </c>
      <c r="AJ15" s="651" t="s">
        <v>24</v>
      </c>
      <c r="AK15" s="651" t="s">
        <v>537</v>
      </c>
      <c r="AL15" s="307">
        <f>+AA15*AH15</f>
        <v>0.2</v>
      </c>
      <c r="AM15" s="307">
        <f>+AA15-AL15</f>
        <v>0.3</v>
      </c>
      <c r="AN15" s="843" t="str">
        <f>+IF(C15="Corrupción","Moderado",IF(AM16&lt;=25%,"Bajo",IF(AM16&lt;=50%,"Moderado",IF(AM16&lt;=75%,"Alto",IF(AM16&gt;75%,"Extremo","")))))</f>
        <v>Bajo</v>
      </c>
      <c r="AO15" s="916" t="s">
        <v>59</v>
      </c>
      <c r="AP15" s="651">
        <v>1</v>
      </c>
      <c r="AQ15" s="651" t="s">
        <v>538</v>
      </c>
      <c r="AR15" s="651" t="s">
        <v>148</v>
      </c>
      <c r="AS15" s="287">
        <v>45658</v>
      </c>
      <c r="AT15" s="287">
        <v>45838</v>
      </c>
      <c r="AU15" s="651"/>
      <c r="AV15" s="892"/>
      <c r="AW15" s="892"/>
      <c r="AX15" s="892"/>
      <c r="AY15" s="892"/>
      <c r="AZ15" s="892"/>
      <c r="BA15" s="892"/>
      <c r="BB15" s="892"/>
      <c r="BC15" s="892"/>
      <c r="BD15" s="892"/>
      <c r="BE15" s="892"/>
      <c r="BF15" s="288"/>
      <c r="BG15" s="288"/>
    </row>
    <row r="16" spans="1:59" s="285" customFormat="1" ht="102" customHeight="1" thickBot="1">
      <c r="A16" s="895"/>
      <c r="B16" s="893"/>
      <c r="C16" s="893"/>
      <c r="D16" s="893"/>
      <c r="E16" s="893"/>
      <c r="F16" s="906"/>
      <c r="G16" s="908"/>
      <c r="H16" s="908"/>
      <c r="I16" s="910"/>
      <c r="J16" s="893"/>
      <c r="K16" s="893"/>
      <c r="L16" s="897"/>
      <c r="M16" s="893"/>
      <c r="N16" s="897"/>
      <c r="O16" s="893"/>
      <c r="P16" s="897"/>
      <c r="Q16" s="893"/>
      <c r="R16" s="897"/>
      <c r="S16" s="895"/>
      <c r="T16" s="895"/>
      <c r="U16" s="897"/>
      <c r="V16" s="913"/>
      <c r="W16" s="897"/>
      <c r="X16" s="822"/>
      <c r="Y16" s="897"/>
      <c r="Z16" s="845"/>
      <c r="AA16" s="897"/>
      <c r="AB16" s="919"/>
      <c r="AC16" s="650" t="s">
        <v>539</v>
      </c>
      <c r="AD16" s="650" t="s">
        <v>57</v>
      </c>
      <c r="AE16" s="301">
        <v>0.25</v>
      </c>
      <c r="AF16" s="650" t="s">
        <v>229</v>
      </c>
      <c r="AG16" s="303">
        <f t="shared" si="3"/>
        <v>0.15</v>
      </c>
      <c r="AH16" s="303">
        <f>+AG16+AE16</f>
        <v>0.4</v>
      </c>
      <c r="AI16" s="650" t="s">
        <v>230</v>
      </c>
      <c r="AJ16" s="650" t="s">
        <v>24</v>
      </c>
      <c r="AK16" s="650" t="s">
        <v>537</v>
      </c>
      <c r="AL16" s="308">
        <f>+AM15*AH16</f>
        <v>0.12</v>
      </c>
      <c r="AM16" s="308">
        <f>+AM15-AL16</f>
        <v>0.18</v>
      </c>
      <c r="AN16" s="845"/>
      <c r="AO16" s="917"/>
      <c r="AP16" s="650">
        <v>2</v>
      </c>
      <c r="AQ16" s="650" t="s">
        <v>540</v>
      </c>
      <c r="AR16" s="650" t="s">
        <v>148</v>
      </c>
      <c r="AS16" s="284">
        <v>45658</v>
      </c>
      <c r="AT16" s="284">
        <v>45838</v>
      </c>
      <c r="AU16" s="650"/>
      <c r="AV16" s="893"/>
      <c r="AW16" s="893"/>
      <c r="AX16" s="893"/>
      <c r="AY16" s="893"/>
      <c r="AZ16" s="893"/>
      <c r="BA16" s="893"/>
      <c r="BB16" s="893"/>
      <c r="BC16" s="893"/>
      <c r="BD16" s="893"/>
      <c r="BE16" s="893"/>
      <c r="BF16" s="283"/>
      <c r="BG16" s="283"/>
    </row>
    <row r="17" spans="1:59" s="285" customFormat="1" ht="297" customHeight="1" thickBot="1">
      <c r="A17" s="123" t="s">
        <v>51</v>
      </c>
      <c r="B17" s="291" t="s">
        <v>541</v>
      </c>
      <c r="C17" s="291" t="s">
        <v>58</v>
      </c>
      <c r="D17" s="291" t="s">
        <v>79</v>
      </c>
      <c r="E17" s="291" t="s">
        <v>80</v>
      </c>
      <c r="F17" s="576" t="s">
        <v>542</v>
      </c>
      <c r="G17" s="293" t="s">
        <v>457</v>
      </c>
      <c r="H17" s="576" t="s">
        <v>543</v>
      </c>
      <c r="I17" s="576" t="s">
        <v>544</v>
      </c>
      <c r="J17" s="294" t="s">
        <v>95</v>
      </c>
      <c r="K17" s="292">
        <v>1</v>
      </c>
      <c r="L17" s="295">
        <f>IF(J17="Diaria",+(K17/360),IF(J17="Semanal",+(K17/52),IF(J17="Mensual",+(K17/12),IF(J17="Bimestral",+(K17/6),IF(J17="Trimestral",+(K17/4),IF(J17="Semestral",+(K17/2),IF(J17="Anual",+(K17/1),"")))))))</f>
        <v>0.5</v>
      </c>
      <c r="M17" s="292" t="s">
        <v>47</v>
      </c>
      <c r="N17" s="295">
        <f>IF(M17="Menor al 1% del patrimonio de la Lotería de Bogotá",20%,IF(M17="Entre el 1% y el 3% del patrimonio de la Lotería de Bogotá",40%,IF(M17="Entre el 3% y el 6% del patrimonio de la Lotería de Bogotá",60%,IF(M17="Entre el 6% y el 10% del patrimonio de la Lotería de Bogotá",80%,IF(M17="Mayor al 10% del patrimonio de la Lotería de Bogotá",100%,IF(M17="NA",0%,""))))))</f>
        <v>0.4</v>
      </c>
      <c r="O17" s="296" t="s">
        <v>76</v>
      </c>
      <c r="P17" s="295">
        <f>IF(O17="El riesgo afecta la imagen de algún área de la organización",20%,IF(O17="El riesgo afecta la imagen de la entidad internamente, de conocimiento general nivel interno, de junta directiva y accionistas y/o de proveedores",40%,IF(O17="El riesgo afecta la imagen de la entidad con algunos usuarios de relevancia frente al logro de los objetivos",60%,IF(O17="El riesgo afecta la imagen de la entidad con efecto publicitario sostenido a nivel de sector administrativo, nivel departamental o municipal",80%,IF(O17="El riesgo afecta la imagen de la entidad a nivel nacional, con efecto publicitario sostenido a nivel país",100%,IF(O17="NA",0%,""))))))</f>
        <v>0.8</v>
      </c>
      <c r="Q17" s="482" t="s">
        <v>73</v>
      </c>
      <c r="R17" s="483">
        <f>IF(Q17="Interrupción de la operación por menos de un día",20%,IF(Q17="Interrupción de la operación por un día completo",40%,IF(Q17="Interrupción de la operación mayor a 1 día y menor a 2 días",60%,IF(Q17="Interrupción de la operación por dos días completos",80%,IF(Q17="Interrupción de la operación por más de dos días",100%,IF(Q17="NA",0%,""))))))</f>
        <v>0</v>
      </c>
      <c r="S17" s="484" t="s">
        <v>60</v>
      </c>
      <c r="T17" s="297" t="s">
        <v>73</v>
      </c>
      <c r="U17" s="295">
        <f>+MAX(N17,P17,R17)</f>
        <v>0.8</v>
      </c>
      <c r="V17" s="349" t="str">
        <f>IF(L17&lt;=20%,"Muy baja",IF(L17&lt;=40%,"Baja",IF(L17&lt;=60%,"Media",IF(L17&lt;=80%,"Alta",IF(L17&lt;=100%,"Muy alta",IF(L17&gt;=100%,"Muy alta",""))))))</f>
        <v>Media</v>
      </c>
      <c r="W17" s="295">
        <f>+IFERROR(VLOOKUP(V17,formulas!$F$1:$G$6,2,FALSE),"")</f>
        <v>0.6</v>
      </c>
      <c r="X17" s="351" t="str">
        <f>IF(U17=20%,"Leve",IF(U17=40%,"Menor",IF(U17=60%,"Moderado",IF(U17=80%,"Mayor",IF(U17=100%,"Catastrófico","")))))</f>
        <v>Mayor</v>
      </c>
      <c r="Y17" s="295">
        <f>+IFERROR(VLOOKUP(X17,formulas!$H$1:$I$6,2,FALSE),"")</f>
        <v>0.8</v>
      </c>
      <c r="Z17" s="351" t="str">
        <f>+IFERROR(VLOOKUP(V17&amp;X17,formulas!$C$2:$D$26,2,FALSE),"")</f>
        <v>Alto</v>
      </c>
      <c r="AA17" s="295">
        <f>IF(Z17="Bajo",25%,IF(Z17="Moderado",50%,IF(Z17="Alto",75%,IF(Z17="Extremo",100%,""))))</f>
        <v>0.75</v>
      </c>
      <c r="AB17" s="536"/>
      <c r="AC17" s="650" t="s">
        <v>545</v>
      </c>
      <c r="AD17" s="292" t="s">
        <v>57</v>
      </c>
      <c r="AE17" s="291">
        <v>0.25</v>
      </c>
      <c r="AF17" s="292" t="s">
        <v>229</v>
      </c>
      <c r="AG17" s="295">
        <f t="shared" si="3"/>
        <v>0.15</v>
      </c>
      <c r="AH17" s="295">
        <f t="shared" si="4"/>
        <v>0.4</v>
      </c>
      <c r="AI17" s="292" t="s">
        <v>230</v>
      </c>
      <c r="AJ17" s="292" t="s">
        <v>24</v>
      </c>
      <c r="AK17" s="292" t="s">
        <v>546</v>
      </c>
      <c r="AL17" s="299">
        <f>+AA17*AH17</f>
        <v>0.30000000000000004</v>
      </c>
      <c r="AM17" s="299">
        <f>+AA17-AL17</f>
        <v>0.44999999999999996</v>
      </c>
      <c r="AN17" s="351" t="str">
        <f>+IF(C17="Corrupción","Moderado",IF(AM17&lt;=25%,"Bajo",IF(AM17&lt;=50%,"Moderado",IF(AM17&lt;=75%,"Alto",IF(AM17&gt;75%,"Extremo","")))))</f>
        <v>Moderado</v>
      </c>
      <c r="AO17" s="418" t="s">
        <v>59</v>
      </c>
      <c r="AP17" s="537"/>
      <c r="AQ17" s="292"/>
      <c r="AR17" s="292"/>
      <c r="AS17" s="292"/>
      <c r="AT17" s="292"/>
      <c r="AU17" s="292"/>
      <c r="AV17" s="292"/>
      <c r="AW17" s="292"/>
      <c r="AX17" s="292"/>
      <c r="AY17" s="292"/>
      <c r="AZ17" s="292"/>
      <c r="BA17" s="292"/>
      <c r="BB17" s="292"/>
      <c r="BC17" s="292"/>
      <c r="BD17" s="292"/>
      <c r="BE17" s="292"/>
      <c r="BF17" s="298"/>
      <c r="BG17" s="298"/>
    </row>
    <row r="18" spans="1:59" s="285" customFormat="1" ht="318.75" customHeight="1" thickBot="1">
      <c r="A18" s="541" t="s">
        <v>231</v>
      </c>
      <c r="B18" s="542" t="s">
        <v>29</v>
      </c>
      <c r="C18" s="542" t="s">
        <v>92</v>
      </c>
      <c r="D18" s="542" t="s">
        <v>79</v>
      </c>
      <c r="E18" s="542" t="s">
        <v>36</v>
      </c>
      <c r="F18" s="577" t="s">
        <v>547</v>
      </c>
      <c r="G18" s="542" t="s">
        <v>548</v>
      </c>
      <c r="H18" s="543" t="s">
        <v>549</v>
      </c>
      <c r="I18" s="542" t="s">
        <v>550</v>
      </c>
      <c r="J18" s="542" t="s">
        <v>66</v>
      </c>
      <c r="K18" s="542">
        <v>1</v>
      </c>
      <c r="L18" s="544">
        <f>IF(J18="Diaria",+(K18/360),IF(J18="Semanal",+(K18/52),IF(J18="Mensual",+(K18/12),IF(J18="Bimestral",+(K18/6),IF(J18="Trimestral",+(K18/4),IF(J18="Semestral",+(K18/2),IF(J18="Anual",+(K18/1),"")))))))</f>
        <v>8.3333333333333329E-2</v>
      </c>
      <c r="M18" s="542" t="s">
        <v>73</v>
      </c>
      <c r="N18" s="544">
        <f>IF(M18="Menor al 1% del patrimonio de la Lotería de Bogotá",20%,IF(M18="Entre el 1% y el 3% del patrimonio de la Lotería de Bogotá",40%,IF(M18="Entre el 3% y el 6% del patrimonio de la Lotería de Bogotá",60%,IF(M18="Entre el 6% y el 10% del patrimonio de la Lotería de Bogotá",80%,IF(M18="Mayor al 10% del patrimonio de la Lotería de Bogotá",100%,IF(M18="NA",0%,""))))))</f>
        <v>0</v>
      </c>
      <c r="O18" s="542" t="s">
        <v>31</v>
      </c>
      <c r="P18" s="544">
        <f>IF(O18="El riesgo afecta la imagen de algún área de la organización",20%,IF(O18="El riesgo afecta la imagen de la entidad internamente, de conocimiento general nivel interno, de junta directiva y accionistas y/o de proveedores",40%,IF(O18="El riesgo afecta la imagen de la entidad con algunos usuarios de relevancia frente al logro de los objetivos",60%,IF(O18="El riesgo afecta la imagen de la entidad con efecto publicitario sostenido a nivel de sector administrativo, nivel departamental o municipal",80%,IF(O18="El riesgo afecta la imagen de la entidad a nivel nacional, con efecto publicitario sostenido a nivel país",100%,IF(O18="NA",0%,""))))))</f>
        <v>0.2</v>
      </c>
      <c r="Q18" s="542" t="s">
        <v>73</v>
      </c>
      <c r="R18" s="544">
        <f>IF(Q18="Interrupción de la operación por menos de un día",20%,IF(Q18="Interrupción de la operación por un día completo",40%,IF(Q18="Interrupción de la operación mayor a 1 día y menor a 2 días",60%,IF(Q18="Interrupción de la operación por dos días completos",80%,IF(Q18="Interrupción de la operación por más de dos días",100%,IF(Q18="NA",0%,""))))))</f>
        <v>0</v>
      </c>
      <c r="S18" s="541" t="s">
        <v>60</v>
      </c>
      <c r="T18" s="541" t="s">
        <v>45</v>
      </c>
      <c r="U18" s="544">
        <f>+MAX(N18,P18,R18)</f>
        <v>0.2</v>
      </c>
      <c r="V18" s="655" t="str">
        <f>IF(L18&lt;=20%,"Muy baja",IF(L18&lt;=40%,"Baja",IF(L18&lt;=60%,"Media",IF(L18&lt;=80%,"Alta",IF(L18&lt;=100%,"Muy alta",IF(L18&gt;=100%,"Muy alta",""))))))</f>
        <v>Muy baja</v>
      </c>
      <c r="W18" s="544">
        <f>+IFERROR(VLOOKUP(V18,formulas!$F$1:$G$6,2,FALSE),"")</f>
        <v>0.2</v>
      </c>
      <c r="X18" s="618" t="str">
        <f>IF(U18=20%,"Leve",IF(U18=40%,"Menor",IF(U18=60%,"Moderado",IF(U18=80%,"Mayor",IF(U18=100%,"Catastrófico","")))))</f>
        <v>Leve</v>
      </c>
      <c r="Y18" s="544">
        <f>+IFERROR(VLOOKUP(X18,formulas!$H$1:$I$6,2,FALSE),"")</f>
        <v>0.2</v>
      </c>
      <c r="Z18" s="618" t="str">
        <f>+IFERROR(VLOOKUP(V18&amp;X18,formulas!$C$2:$D$26,2,FALSE),"")</f>
        <v>Bajo</v>
      </c>
      <c r="AA18" s="544">
        <f>IF(Z18="Bajo",25%,IF(Z18="Moderado",50%,IF(Z18="Alto",75%,IF(Z18="Extremo",100%,""))))</f>
        <v>0.25</v>
      </c>
      <c r="AB18" s="545" t="s">
        <v>551</v>
      </c>
      <c r="AC18" s="543" t="s">
        <v>552</v>
      </c>
      <c r="AD18" s="542" t="s">
        <v>57</v>
      </c>
      <c r="AE18" s="542">
        <v>0.25</v>
      </c>
      <c r="AF18" s="542" t="s">
        <v>553</v>
      </c>
      <c r="AG18" s="544">
        <f t="shared" si="3"/>
        <v>0.25</v>
      </c>
      <c r="AH18" s="544">
        <f t="shared" si="4"/>
        <v>0.5</v>
      </c>
      <c r="AI18" s="546" t="s">
        <v>230</v>
      </c>
      <c r="AJ18" s="542" t="s">
        <v>24</v>
      </c>
      <c r="AK18" s="542" t="s">
        <v>554</v>
      </c>
      <c r="AL18" s="545">
        <f>+AA18*AH18</f>
        <v>0.125</v>
      </c>
      <c r="AM18" s="545">
        <f>+AA18-AL18</f>
        <v>0.125</v>
      </c>
      <c r="AN18" s="618" t="str">
        <f>+IF(C18="Corrupción","Moderado",IF(AM18&lt;=25%,"Bajo",IF(AM18&lt;=50%,"Moderado",IF(AM18&lt;=75%,"Alto",IF(AM18&gt;75%,"Extremo","")))))</f>
        <v>Bajo</v>
      </c>
      <c r="AO18" s="547" t="s">
        <v>59</v>
      </c>
      <c r="AP18" s="546"/>
      <c r="AQ18" s="542"/>
      <c r="AR18" s="542"/>
      <c r="AS18" s="542"/>
      <c r="AT18" s="542"/>
      <c r="AU18" s="542"/>
      <c r="AV18" s="291"/>
      <c r="AW18" s="291"/>
      <c r="AX18" s="291"/>
      <c r="AY18" s="291"/>
      <c r="AZ18" s="291"/>
      <c r="BA18" s="291"/>
      <c r="BB18" s="291"/>
      <c r="BC18" s="291"/>
      <c r="BD18" s="291"/>
      <c r="BE18" s="291"/>
      <c r="BF18" s="298"/>
      <c r="BG18" s="298"/>
    </row>
    <row r="19" spans="1:59" ht="286.5" customHeight="1">
      <c r="A19" s="653" t="s">
        <v>231</v>
      </c>
      <c r="B19" s="649" t="s">
        <v>106</v>
      </c>
      <c r="C19" s="649" t="s">
        <v>70</v>
      </c>
      <c r="D19" s="649" t="s">
        <v>12</v>
      </c>
      <c r="E19" s="649" t="s">
        <v>36</v>
      </c>
      <c r="F19" s="583" t="s">
        <v>555</v>
      </c>
      <c r="G19" s="585" t="s">
        <v>556</v>
      </c>
      <c r="H19" s="584" t="s">
        <v>557</v>
      </c>
      <c r="I19" s="586" t="s">
        <v>550</v>
      </c>
      <c r="J19" s="585" t="s">
        <v>89</v>
      </c>
      <c r="K19" s="587">
        <v>1</v>
      </c>
      <c r="L19" s="59">
        <f>IF(J19="Diaria",+(K19/360),IF(J19="Semanal",+(K19/52),IF(J19="Mensual",+(K19/12),IF(J19="Bimestral",+(K19/6),IF(J19="Trimestral",+(K19/4),IF(J19="Semestral",+(K19/2),IF(J19="Anual",+(K19/1),"")))))))</f>
        <v>0.25</v>
      </c>
      <c r="M19" s="59" t="s">
        <v>73</v>
      </c>
      <c r="N19" s="59">
        <f>IF(M19="Menor al 1% del patrimonio de la Lotería de Bogotá",20%,IF(M19="Entre el 1% y el 3% del patrimonio de la Lotería de Bogotá",40%,IF(M19="Entre el 3% y el 6% del patrimonio de la Lotería de Bogotá",60%,IF(M19="Entre el 6% y el 10% del patrimonio de la Lotería de Bogotá",80%,IF(M19="Mayor al 10% del patrimonio de la Lotería de Bogotá",100%,IF(M19="NA",0%,""))))))</f>
        <v>0</v>
      </c>
      <c r="O19" s="654" t="s">
        <v>64</v>
      </c>
      <c r="P19" s="59">
        <f>IF(O19="El riesgo afecta la imagen de algún área de la organización",20%,IF(O19="El riesgo afecta la imagen de la entidad internamente, de conocimiento general nivel interno, de junta directiva y accionistas y/o de proveedores",40%,IF(O19="El riesgo afecta la imagen de la entidad con algunos usuarios de relevancia frente al logro de los objetivos",60%,IF(O19="El riesgo afecta la imagen de la entidad con efecto publicitario sostenido a nivel de sector administrativo, nivel departamental o municipal",80%,IF(O19="El riesgo afecta la imagen de la entidad a nivel nacional, con efecto publicitario sostenido a nivel país",100%,IF(O19="NA",0%,""))))))</f>
        <v>0.6</v>
      </c>
      <c r="Q19" s="59" t="s">
        <v>73</v>
      </c>
      <c r="R19" s="59">
        <f>IF(Q19="Interrupción de la operación por menos de un día",20%,IF(Q19="Interrupción de la operación por un día completo",40%,IF(Q19="Interrupción de la operación mayor a 1 día y menor a 2 días",60%,IF(Q19="Interrupción de la operación por dos días completos",80%,IF(Q19="Interrupción de la operación por más de dos días",100%,IF(Q19="NA",0%,""))))))</f>
        <v>0</v>
      </c>
      <c r="S19" s="653" t="s">
        <v>60</v>
      </c>
      <c r="T19" s="653" t="s">
        <v>45</v>
      </c>
      <c r="U19" s="59">
        <f>+MAX(N19,P19,R19)</f>
        <v>0.6</v>
      </c>
      <c r="V19" s="655" t="str">
        <f>IF(L19&lt;=20%,"Muy baja",IF(L19&lt;=40%,"Baja",IF(L19&lt;=60%,"Media",IF(L19&lt;=80%,"Alta",IF(L19&lt;=100%,"Muy alta",IF(L19&gt;=100%,"Muy alta",""))))))</f>
        <v>Baja</v>
      </c>
      <c r="W19" s="548">
        <f>+IFERROR(VLOOKUP(V19,formulas!$F$1:$G$6,2,FALSE),"")</f>
        <v>0.4</v>
      </c>
      <c r="X19" s="618" t="str">
        <f>IF(U19=20%,"Leve",IF(U19=40%,"Menor",IF(U19=60%,"Moderado",IF(U19=80%,"Mayor",IF(U19=100%,"Catastrófico","")))))</f>
        <v>Moderado</v>
      </c>
      <c r="Y19" s="548">
        <f>+IFERROR(VLOOKUP(X19,formulas!$H$1:$I$6,2,FALSE),"")</f>
        <v>0.6</v>
      </c>
      <c r="Z19" s="618" t="str">
        <f>+IFERROR(VLOOKUP(V19&amp;X19,formulas!$C$2:$D$26,2,FALSE),"")</f>
        <v>Moderado</v>
      </c>
      <c r="AA19" s="59">
        <f>IF(Z19="Bajo",25%,IF(Z19="Moderado",50%,IF(Z19="Alto",75%,IF(Z19="Extremo",100%,""))))</f>
        <v>0.5</v>
      </c>
      <c r="AB19" s="588"/>
      <c r="AC19" s="596" t="s">
        <v>558</v>
      </c>
      <c r="AD19" s="587" t="s">
        <v>57</v>
      </c>
      <c r="AE19" s="548">
        <v>0.25</v>
      </c>
      <c r="AF19" s="548" t="s">
        <v>553</v>
      </c>
      <c r="AG19" s="548">
        <f>IF(AF19="Manual",15%,IF(AF19="Automático",25%,""))</f>
        <v>0.25</v>
      </c>
      <c r="AH19" s="548">
        <f>+AG19+AE19</f>
        <v>0.5</v>
      </c>
      <c r="AI19" s="59" t="s">
        <v>230</v>
      </c>
      <c r="AJ19" s="59" t="s">
        <v>24</v>
      </c>
      <c r="AK19" s="59" t="s">
        <v>516</v>
      </c>
      <c r="AL19" s="59">
        <f>+AA19*AH19</f>
        <v>0.25</v>
      </c>
      <c r="AM19" s="592">
        <f>+AA19-AL19</f>
        <v>0.25</v>
      </c>
      <c r="AN19" s="593" t="str">
        <f>+IF(C19="Corrupción","Moderado",IF(AM19&lt;=25%,"Bajo",IF(AM19&lt;=50%,"Moderado",IF(AM19&lt;=75%,"Alto",IF(AM19&gt;75%,"Extremo","")))))</f>
        <v>Bajo</v>
      </c>
      <c r="AO19" s="594" t="s">
        <v>59</v>
      </c>
      <c r="AP19" s="595"/>
      <c r="AQ19" s="589" t="s">
        <v>559</v>
      </c>
      <c r="AR19" s="590" t="s">
        <v>148</v>
      </c>
      <c r="AS19" s="591">
        <v>45991</v>
      </c>
      <c r="AT19" s="591">
        <v>46203</v>
      </c>
      <c r="AU19" s="589" t="s">
        <v>560</v>
      </c>
    </row>
    <row r="20" spans="1:59" ht="15.75" customHeight="1">
      <c r="H20" s="538"/>
    </row>
    <row r="22" spans="1:59" ht="21">
      <c r="E22" s="538"/>
      <c r="F22" s="538"/>
      <c r="G22" s="538"/>
      <c r="H22" s="539"/>
      <c r="I22" s="540"/>
    </row>
  </sheetData>
  <mergeCells count="261">
    <mergeCell ref="AV15:AV16"/>
    <mergeCell ref="AW15:AW16"/>
    <mergeCell ref="AX15:AX16"/>
    <mergeCell ref="AY15:AY16"/>
    <mergeCell ref="AZ15:AZ16"/>
    <mergeCell ref="BA15:BA16"/>
    <mergeCell ref="AY13:AY14"/>
    <mergeCell ref="AZ13:AZ14"/>
    <mergeCell ref="AY10:AY12"/>
    <mergeCell ref="AZ10:AZ12"/>
    <mergeCell ref="BA10:BA12"/>
    <mergeCell ref="BC13:BC14"/>
    <mergeCell ref="BD13:BD14"/>
    <mergeCell ref="BE15:BE16"/>
    <mergeCell ref="BE13:BE14"/>
    <mergeCell ref="BB15:BB16"/>
    <mergeCell ref="BC15:BC16"/>
    <mergeCell ref="BD15:BD16"/>
    <mergeCell ref="BA13:BA14"/>
    <mergeCell ref="BB13:BB14"/>
    <mergeCell ref="BB10:BB12"/>
    <mergeCell ref="BC10:BC12"/>
    <mergeCell ref="BD10:BD12"/>
    <mergeCell ref="BE10:BE12"/>
    <mergeCell ref="BE4:BE5"/>
    <mergeCell ref="BB6:BB7"/>
    <mergeCell ref="BC6:BC7"/>
    <mergeCell ref="BE8:BE9"/>
    <mergeCell ref="BE6:BE7"/>
    <mergeCell ref="BD6:BD7"/>
    <mergeCell ref="AY4:AY5"/>
    <mergeCell ref="AZ4:AZ5"/>
    <mergeCell ref="BA4:BA5"/>
    <mergeCell ref="BB4:BB5"/>
    <mergeCell ref="BC4:BC5"/>
    <mergeCell ref="BD4:BD5"/>
    <mergeCell ref="AY8:AY9"/>
    <mergeCell ref="AZ8:AZ9"/>
    <mergeCell ref="AY6:AY7"/>
    <mergeCell ref="AZ6:AZ7"/>
    <mergeCell ref="BA6:BA7"/>
    <mergeCell ref="BA8:BA9"/>
    <mergeCell ref="BB8:BB9"/>
    <mergeCell ref="BC8:BC9"/>
    <mergeCell ref="BD8:BD9"/>
    <mergeCell ref="AA10:AA12"/>
    <mergeCell ref="AB10:AB12"/>
    <mergeCell ref="AN10:AN12"/>
    <mergeCell ref="AO10:AO12"/>
    <mergeCell ref="AA13:AA14"/>
    <mergeCell ref="AB13:AB14"/>
    <mergeCell ref="AN15:AN16"/>
    <mergeCell ref="AB6:AB7"/>
    <mergeCell ref="AA4:AA5"/>
    <mergeCell ref="AN6:AN7"/>
    <mergeCell ref="AO6:AO7"/>
    <mergeCell ref="AA6:AA7"/>
    <mergeCell ref="AW4:AW5"/>
    <mergeCell ref="AX4:AX5"/>
    <mergeCell ref="AV4:AV5"/>
    <mergeCell ref="AO13:AO14"/>
    <mergeCell ref="AV8:AV9"/>
    <mergeCell ref="AW8:AW9"/>
    <mergeCell ref="AN8:AN9"/>
    <mergeCell ref="AO8:AO9"/>
    <mergeCell ref="AB8:AB9"/>
    <mergeCell ref="AV6:AV7"/>
    <mergeCell ref="AW6:AW7"/>
    <mergeCell ref="AV10:AV12"/>
    <mergeCell ref="AW10:AW12"/>
    <mergeCell ref="AX10:AX12"/>
    <mergeCell ref="AV13:AV14"/>
    <mergeCell ref="AW13:AW14"/>
    <mergeCell ref="AX13:AX14"/>
    <mergeCell ref="AN4:AN5"/>
    <mergeCell ref="AO4:AO5"/>
    <mergeCell ref="AB4:AB5"/>
    <mergeCell ref="AX8:AX9"/>
    <mergeCell ref="AX6:AX7"/>
    <mergeCell ref="Y13:Y14"/>
    <mergeCell ref="Z13:Z14"/>
    <mergeCell ref="O15:O16"/>
    <mergeCell ref="P15:P16"/>
    <mergeCell ref="Q15:Q16"/>
    <mergeCell ref="R15:R16"/>
    <mergeCell ref="Z15:Z16"/>
    <mergeCell ref="AO15:AO16"/>
    <mergeCell ref="AN13:AN14"/>
    <mergeCell ref="AA15:AA16"/>
    <mergeCell ref="AB15:AB16"/>
    <mergeCell ref="S10:S12"/>
    <mergeCell ref="Y10:Y12"/>
    <mergeCell ref="Z10:Z12"/>
    <mergeCell ref="N13:N14"/>
    <mergeCell ref="N15:N16"/>
    <mergeCell ref="O10:O12"/>
    <mergeCell ref="P10:P12"/>
    <mergeCell ref="Q10:Q12"/>
    <mergeCell ref="R10:R12"/>
    <mergeCell ref="S15:S16"/>
    <mergeCell ref="X10:X12"/>
    <mergeCell ref="T10:T12"/>
    <mergeCell ref="U10:U12"/>
    <mergeCell ref="V10:V12"/>
    <mergeCell ref="W10:W12"/>
    <mergeCell ref="V13:V14"/>
    <mergeCell ref="W13:W14"/>
    <mergeCell ref="V15:V16"/>
    <mergeCell ref="W15:W16"/>
    <mergeCell ref="T15:T16"/>
    <mergeCell ref="U15:U16"/>
    <mergeCell ref="X15:X16"/>
    <mergeCell ref="Y15:Y16"/>
    <mergeCell ref="X13:X14"/>
    <mergeCell ref="X4:X5"/>
    <mergeCell ref="Y4:Y5"/>
    <mergeCell ref="Z4:Z5"/>
    <mergeCell ref="Y8:Y9"/>
    <mergeCell ref="Z8:Z9"/>
    <mergeCell ref="AA8:AA9"/>
    <mergeCell ref="R8:R9"/>
    <mergeCell ref="V4:V5"/>
    <mergeCell ref="W4:W5"/>
    <mergeCell ref="U6:U7"/>
    <mergeCell ref="V6:V7"/>
    <mergeCell ref="Y6:Y7"/>
    <mergeCell ref="Z6:Z7"/>
    <mergeCell ref="U8:U9"/>
    <mergeCell ref="V8:V9"/>
    <mergeCell ref="W8:W9"/>
    <mergeCell ref="X8:X9"/>
    <mergeCell ref="T8:T9"/>
    <mergeCell ref="T6:T7"/>
    <mergeCell ref="W6:W7"/>
    <mergeCell ref="X6:X7"/>
    <mergeCell ref="P4:P5"/>
    <mergeCell ref="Q4:Q5"/>
    <mergeCell ref="R4:R5"/>
    <mergeCell ref="S4:S5"/>
    <mergeCell ref="T4:T5"/>
    <mergeCell ref="U4:U5"/>
    <mergeCell ref="Q8:Q9"/>
    <mergeCell ref="J6:J7"/>
    <mergeCell ref="K6:K7"/>
    <mergeCell ref="J8:J9"/>
    <mergeCell ref="K8:K9"/>
    <mergeCell ref="S8:S9"/>
    <mergeCell ref="L6:L7"/>
    <mergeCell ref="R6:R7"/>
    <mergeCell ref="S6:S7"/>
    <mergeCell ref="N6:N7"/>
    <mergeCell ref="O6:O7"/>
    <mergeCell ref="P6:P7"/>
    <mergeCell ref="Q6:Q7"/>
    <mergeCell ref="O4:O5"/>
    <mergeCell ref="L4:L5"/>
    <mergeCell ref="I15:I16"/>
    <mergeCell ref="I10:I12"/>
    <mergeCell ref="J10:J12"/>
    <mergeCell ref="K10:K12"/>
    <mergeCell ref="M8:M9"/>
    <mergeCell ref="H13:H14"/>
    <mergeCell ref="I13:I14"/>
    <mergeCell ref="J13:J14"/>
    <mergeCell ref="K13:K14"/>
    <mergeCell ref="L10:L12"/>
    <mergeCell ref="A15:A16"/>
    <mergeCell ref="B15:B16"/>
    <mergeCell ref="C15:C16"/>
    <mergeCell ref="D15:D16"/>
    <mergeCell ref="E15:E16"/>
    <mergeCell ref="F15:F16"/>
    <mergeCell ref="F10:F12"/>
    <mergeCell ref="G10:G12"/>
    <mergeCell ref="H10:H12"/>
    <mergeCell ref="G15:G16"/>
    <mergeCell ref="H15:H16"/>
    <mergeCell ref="G13:G14"/>
    <mergeCell ref="A10:A12"/>
    <mergeCell ref="B10:B12"/>
    <mergeCell ref="C10:C12"/>
    <mergeCell ref="D10:D12"/>
    <mergeCell ref="E10:E12"/>
    <mergeCell ref="J4:J5"/>
    <mergeCell ref="A8:A9"/>
    <mergeCell ref="B8:B9"/>
    <mergeCell ref="C8:C9"/>
    <mergeCell ref="D8:D9"/>
    <mergeCell ref="E8:E9"/>
    <mergeCell ref="F8:F9"/>
    <mergeCell ref="A13:A14"/>
    <mergeCell ref="B13:B14"/>
    <mergeCell ref="C13:C14"/>
    <mergeCell ref="D13:D14"/>
    <mergeCell ref="E13:E14"/>
    <mergeCell ref="F13:F14"/>
    <mergeCell ref="O8:O9"/>
    <mergeCell ref="P8:P9"/>
    <mergeCell ref="G8:G9"/>
    <mergeCell ref="H8:H9"/>
    <mergeCell ref="I8:I9"/>
    <mergeCell ref="K4:K5"/>
    <mergeCell ref="A6:A7"/>
    <mergeCell ref="B6:B7"/>
    <mergeCell ref="C6:C7"/>
    <mergeCell ref="D6:D7"/>
    <mergeCell ref="E6:E7"/>
    <mergeCell ref="F6:F7"/>
    <mergeCell ref="G6:G7"/>
    <mergeCell ref="H6:H7"/>
    <mergeCell ref="I6:I7"/>
    <mergeCell ref="A4:A5"/>
    <mergeCell ref="B4:B5"/>
    <mergeCell ref="C4:C5"/>
    <mergeCell ref="D4:D5"/>
    <mergeCell ref="E4:E5"/>
    <mergeCell ref="F4:F5"/>
    <mergeCell ref="G4:G5"/>
    <mergeCell ref="H4:H5"/>
    <mergeCell ref="I4:I5"/>
    <mergeCell ref="M4:M5"/>
    <mergeCell ref="M6:M7"/>
    <mergeCell ref="N4:N5"/>
    <mergeCell ref="M15:M16"/>
    <mergeCell ref="M10:M12"/>
    <mergeCell ref="M13:M14"/>
    <mergeCell ref="L8:L9"/>
    <mergeCell ref="L13:L14"/>
    <mergeCell ref="L15:L16"/>
    <mergeCell ref="N8:N9"/>
    <mergeCell ref="N10:N12"/>
    <mergeCell ref="J15:J16"/>
    <mergeCell ref="T13:T14"/>
    <mergeCell ref="U13:U14"/>
    <mergeCell ref="K15:K16"/>
    <mergeCell ref="O13:O14"/>
    <mergeCell ref="P13:P14"/>
    <mergeCell ref="Q13:Q14"/>
    <mergeCell ref="R13:R14"/>
    <mergeCell ref="S13:S14"/>
    <mergeCell ref="A1:T2"/>
    <mergeCell ref="U1:AB2"/>
    <mergeCell ref="AC1:AK1"/>
    <mergeCell ref="AM1:AO1"/>
    <mergeCell ref="AP1:AU1"/>
    <mergeCell ref="G3:H3"/>
    <mergeCell ref="AJ3:AK3"/>
    <mergeCell ref="AT2:AT3"/>
    <mergeCell ref="AV1:BE1"/>
    <mergeCell ref="AC2:AC3"/>
    <mergeCell ref="AD2:AG2"/>
    <mergeCell ref="AH2:AH3"/>
    <mergeCell ref="AR2:AR3"/>
    <mergeCell ref="AS2:AS3"/>
    <mergeCell ref="AV2:AZ2"/>
    <mergeCell ref="BA2:BE2"/>
    <mergeCell ref="AL2:AN3"/>
    <mergeCell ref="AO2:AO3"/>
    <mergeCell ref="AU2:AU3"/>
    <mergeCell ref="AI2:AK2"/>
    <mergeCell ref="AP2:AQ3"/>
  </mergeCells>
  <conditionalFormatting sqref="V4 V6 V8 V10 V13 V15 V17:V19">
    <cfRule type="expression" dxfId="467" priority="26" stopIfTrue="1">
      <formula>NOT(ISERROR(SEARCH("Muy alta",V4)))</formula>
    </cfRule>
    <cfRule type="expression" dxfId="466" priority="27" stopIfTrue="1">
      <formula>NOT(ISERROR(SEARCH("Alta",V4)))</formula>
    </cfRule>
    <cfRule type="expression" dxfId="465" priority="28" stopIfTrue="1">
      <formula>NOT(ISERROR(SEARCH("Media",V4)))</formula>
    </cfRule>
  </conditionalFormatting>
  <conditionalFormatting sqref="V6 V8 V10 V13 V15 V17:V19">
    <cfRule type="containsText" dxfId="464" priority="23" operator="containsText" text="BAJA">
      <formula>NOT(ISERROR(SEARCH("BAJA",V6)))</formula>
    </cfRule>
    <cfRule type="containsText" dxfId="463" priority="24" operator="containsText" text="MEDIA">
      <formula>NOT(ISERROR(SEARCH("MEDIA",V6)))</formula>
    </cfRule>
    <cfRule type="containsText" dxfId="462" priority="25" operator="containsText" text="ALTA">
      <formula>NOT(ISERROR(SEARCH("ALTA",V6)))</formula>
    </cfRule>
  </conditionalFormatting>
  <dataValidations count="3">
    <dataValidation type="list" allowBlank="1" showInputMessage="1" showErrorMessage="1" sqref="A4:A19">
      <formula1>"SI,NO"</formula1>
    </dataValidation>
    <dataValidation type="list" allowBlank="1" showInputMessage="1" showErrorMessage="1" sqref="AI4:AI18">
      <formula1>"Confiable,No confiable"</formula1>
    </dataValidation>
    <dataValidation type="list" allowBlank="1" showInputMessage="1" showErrorMessage="1" sqref="AF4:AF18">
      <formula1>"Manual,Automático"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
  <sheetViews>
    <sheetView tabSelected="1" topLeftCell="Q8" zoomScale="69" zoomScaleNormal="69" workbookViewId="0">
      <selection activeCell="S8" sqref="S8"/>
    </sheetView>
  </sheetViews>
  <sheetFormatPr baseColWidth="10" defaultColWidth="17.28515625" defaultRowHeight="15"/>
  <cols>
    <col min="1" max="1" width="14.140625" style="63" customWidth="1"/>
    <col min="2" max="2" width="14" style="63" customWidth="1"/>
    <col min="3" max="3" width="17.28515625" style="63" customWidth="1"/>
    <col min="4" max="4" width="19.42578125" style="63" customWidth="1"/>
    <col min="5" max="5" width="19.5703125" style="63" customWidth="1"/>
    <col min="6" max="6" width="59.7109375" style="53" customWidth="1"/>
    <col min="7" max="7" width="9.7109375" style="63" customWidth="1"/>
    <col min="8" max="8" width="52" style="63" customWidth="1"/>
    <col min="9" max="9" width="44.28515625" style="63" customWidth="1"/>
    <col min="10" max="10" width="14.7109375" style="63" bestFit="1" customWidth="1"/>
    <col min="11" max="11" width="16.7109375" style="63" customWidth="1"/>
    <col min="12" max="12" width="19.28515625" style="63" customWidth="1"/>
    <col min="13" max="13" width="46.140625" style="63" customWidth="1"/>
    <col min="14" max="14" width="19.28515625" style="63" customWidth="1"/>
    <col min="15" max="15" width="45.28515625" style="63" customWidth="1"/>
    <col min="16" max="16" width="17.7109375" style="63" customWidth="1"/>
    <col min="17" max="17" width="32.42578125" style="63" customWidth="1"/>
    <col min="18" max="18" width="17.140625" style="63" customWidth="1"/>
    <col min="19" max="21" width="21.85546875" style="63" customWidth="1"/>
    <col min="22" max="22" width="15" style="63" customWidth="1"/>
    <col min="23" max="23" width="12.28515625" style="239" customWidth="1"/>
    <col min="24" max="24" width="13.7109375" style="63" customWidth="1"/>
    <col min="25" max="25" width="14.7109375" style="239" customWidth="1"/>
    <col min="26" max="26" width="16.85546875" style="63" bestFit="1" customWidth="1"/>
    <col min="27" max="27" width="7.85546875" style="63" customWidth="1"/>
    <col min="28" max="28" width="28.140625" style="63" customWidth="1"/>
    <col min="29" max="29" width="90.7109375" style="53" customWidth="1"/>
    <col min="30" max="30" width="14.28515625" style="63" customWidth="1"/>
    <col min="31" max="31" width="8.42578125" style="239" customWidth="1"/>
    <col min="32" max="32" width="20.28515625" style="239" customWidth="1"/>
    <col min="33" max="33" width="9" style="239" customWidth="1"/>
    <col min="34" max="34" width="14.140625" style="239" customWidth="1"/>
    <col min="35" max="35" width="16.42578125" style="63" customWidth="1"/>
    <col min="36" max="36" width="14.7109375" style="63" customWidth="1"/>
    <col min="37" max="37" width="36.5703125" style="63" customWidth="1"/>
    <col min="38" max="38" width="13.7109375" style="63" customWidth="1"/>
    <col min="39" max="39" width="13.7109375" style="239" customWidth="1"/>
    <col min="40" max="40" width="13.7109375" style="63" customWidth="1"/>
    <col min="41" max="41" width="15.28515625" style="63" customWidth="1"/>
    <col min="42" max="42" width="16.5703125" style="63" customWidth="1"/>
    <col min="43" max="43" width="49.28515625" style="63" customWidth="1"/>
    <col min="44" max="44" width="17" style="63" customWidth="1"/>
    <col min="45" max="45" width="19.42578125" style="238" customWidth="1"/>
    <col min="46" max="46" width="29" style="238" customWidth="1"/>
    <col min="47" max="47" width="58.85546875" style="63" customWidth="1"/>
    <col min="48" max="57" width="18.140625" style="63" customWidth="1"/>
    <col min="58" max="216" width="11.42578125" style="63" customWidth="1"/>
    <col min="217" max="217" width="21.85546875" style="63" customWidth="1"/>
    <col min="218" max="218" width="13.85546875" style="63" customWidth="1"/>
    <col min="219" max="219" width="38.7109375" style="63" customWidth="1"/>
    <col min="220" max="220" width="3" style="63" bestFit="1" customWidth="1"/>
    <col min="221" max="221" width="32.28515625" style="63" customWidth="1"/>
    <col min="222" max="222" width="46.28515625" style="63" customWidth="1"/>
    <col min="223" max="223" width="19" style="63" customWidth="1"/>
    <col min="224" max="224" width="11.42578125" style="63" customWidth="1"/>
    <col min="225" max="225" width="17.7109375" style="63" customWidth="1"/>
    <col min="226" max="226" width="11.42578125" style="63" customWidth="1"/>
    <col min="227" max="227" width="22.28515625" style="63" customWidth="1"/>
    <col min="228" max="228" width="5.28515625" style="63" customWidth="1"/>
    <col min="229" max="229" width="36.28515625" style="63" customWidth="1"/>
    <col min="230" max="230" width="5.7109375" style="63" customWidth="1"/>
    <col min="231" max="231" width="11.42578125" style="63" customWidth="1"/>
    <col min="232" max="232" width="20.7109375" style="63" customWidth="1"/>
    <col min="233" max="233" width="4.85546875" style="63" customWidth="1"/>
    <col min="234" max="234" width="11.42578125" style="63" customWidth="1"/>
    <col min="235" max="235" width="24.7109375" style="63" customWidth="1"/>
    <col min="236" max="236" width="12.28515625" style="63" customWidth="1"/>
    <col min="237" max="237" width="11.42578125" style="63" customWidth="1"/>
    <col min="238" max="238" width="3.42578125" style="63" customWidth="1"/>
    <col min="239" max="239" width="11.42578125" style="63" customWidth="1"/>
    <col min="240" max="240" width="17.7109375" style="63" customWidth="1"/>
    <col min="241" max="241" width="3.42578125" style="63" customWidth="1"/>
    <col min="242" max="242" width="11.42578125" style="63" customWidth="1"/>
    <col min="243" max="243" width="23.7109375" style="63" customWidth="1"/>
    <col min="244" max="244" width="10" style="63" customWidth="1"/>
    <col min="245" max="245" width="11.42578125" style="63" customWidth="1"/>
    <col min="246" max="247" width="14.7109375" style="63" customWidth="1"/>
    <col min="248" max="248" width="12.85546875" style="63" customWidth="1"/>
    <col min="249" max="249" width="3.28515625" style="63" customWidth="1"/>
    <col min="250" max="250" width="30.28515625" style="63" customWidth="1"/>
    <col min="251" max="251" width="5" style="63" customWidth="1"/>
    <col min="252" max="252" width="11.42578125" style="63" customWidth="1"/>
    <col min="253" max="253" width="14.28515625" style="63" customWidth="1"/>
    <col min="254" max="254" width="5.7109375" style="63" customWidth="1"/>
    <col min="255" max="255" width="11.42578125" style="63" customWidth="1"/>
    <col min="256" max="16384" width="17.28515625" style="63"/>
  </cols>
  <sheetData>
    <row r="1" spans="1:59" ht="45">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252" t="s">
        <v>467</v>
      </c>
      <c r="BG1" s="78" t="s">
        <v>468</v>
      </c>
    </row>
    <row r="2" spans="1:59" ht="18.75">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937"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row>
    <row r="3" spans="1:59" s="46" customFormat="1" ht="93.75">
      <c r="A3" s="611" t="s">
        <v>199</v>
      </c>
      <c r="B3" s="611" t="s">
        <v>144</v>
      </c>
      <c r="C3" s="611" t="s">
        <v>6</v>
      </c>
      <c r="D3" s="611" t="s">
        <v>1</v>
      </c>
      <c r="E3" s="611" t="s">
        <v>2</v>
      </c>
      <c r="F3" s="568" t="s">
        <v>200</v>
      </c>
      <c r="G3" s="811" t="s">
        <v>201</v>
      </c>
      <c r="H3" s="811"/>
      <c r="I3" s="611" t="s">
        <v>202</v>
      </c>
      <c r="J3" s="611" t="s">
        <v>16</v>
      </c>
      <c r="K3" s="611" t="s">
        <v>203</v>
      </c>
      <c r="L3" s="611" t="s">
        <v>204</v>
      </c>
      <c r="M3" s="611" t="s">
        <v>13</v>
      </c>
      <c r="N3" s="611" t="s">
        <v>176</v>
      </c>
      <c r="O3" s="611" t="s">
        <v>14</v>
      </c>
      <c r="P3" s="611" t="s">
        <v>176</v>
      </c>
      <c r="Q3" s="611" t="s">
        <v>15</v>
      </c>
      <c r="R3" s="611" t="s">
        <v>176</v>
      </c>
      <c r="S3" s="611" t="s">
        <v>205</v>
      </c>
      <c r="T3" s="611" t="s">
        <v>11</v>
      </c>
      <c r="U3" s="43" t="s">
        <v>206</v>
      </c>
      <c r="V3" s="44" t="s">
        <v>207</v>
      </c>
      <c r="W3" s="43" t="s">
        <v>176</v>
      </c>
      <c r="X3" s="44" t="s">
        <v>208</v>
      </c>
      <c r="Y3" s="43" t="s">
        <v>176</v>
      </c>
      <c r="Z3" s="44" t="s">
        <v>209</v>
      </c>
      <c r="AA3" s="44" t="s">
        <v>176</v>
      </c>
      <c r="AB3" s="44" t="s">
        <v>210</v>
      </c>
      <c r="AC3" s="937"/>
      <c r="AD3" s="610" t="s">
        <v>5</v>
      </c>
      <c r="AE3" s="45" t="s">
        <v>211</v>
      </c>
      <c r="AF3" s="610" t="s">
        <v>212</v>
      </c>
      <c r="AG3" s="610" t="s">
        <v>211</v>
      </c>
      <c r="AH3" s="810"/>
      <c r="AI3" s="610" t="s">
        <v>213</v>
      </c>
      <c r="AJ3" s="810" t="s">
        <v>7</v>
      </c>
      <c r="AK3" s="810"/>
      <c r="AL3" s="813"/>
      <c r="AM3" s="813"/>
      <c r="AN3" s="813"/>
      <c r="AO3" s="813"/>
      <c r="AP3" s="798"/>
      <c r="AQ3" s="798"/>
      <c r="AR3" s="798"/>
      <c r="AS3" s="798"/>
      <c r="AT3" s="798"/>
      <c r="AU3" s="798"/>
      <c r="AV3" s="639" t="s">
        <v>217</v>
      </c>
      <c r="AW3" s="639" t="s">
        <v>218</v>
      </c>
      <c r="AX3" s="639" t="s">
        <v>219</v>
      </c>
      <c r="AY3" s="94" t="s">
        <v>220</v>
      </c>
      <c r="AZ3" s="94" t="s">
        <v>221</v>
      </c>
      <c r="BA3" s="639" t="s">
        <v>217</v>
      </c>
      <c r="BB3" s="639" t="s">
        <v>218</v>
      </c>
      <c r="BC3" s="639" t="s">
        <v>219</v>
      </c>
      <c r="BD3" s="94" t="s">
        <v>220</v>
      </c>
      <c r="BE3" s="94" t="s">
        <v>221</v>
      </c>
    </row>
    <row r="4" spans="1:59" s="249" customFormat="1" ht="123" customHeight="1">
      <c r="A4" s="930" t="s">
        <v>51</v>
      </c>
      <c r="B4" s="933" t="s">
        <v>98</v>
      </c>
      <c r="C4" s="933" t="s">
        <v>92</v>
      </c>
      <c r="D4" s="933" t="s">
        <v>79</v>
      </c>
      <c r="E4" s="933" t="s">
        <v>96</v>
      </c>
      <c r="F4" s="935" t="s">
        <v>561</v>
      </c>
      <c r="G4" s="933" t="s">
        <v>562</v>
      </c>
      <c r="H4" s="933" t="s">
        <v>563</v>
      </c>
      <c r="I4" s="933" t="s">
        <v>564</v>
      </c>
      <c r="J4" s="933" t="s">
        <v>99</v>
      </c>
      <c r="K4" s="933">
        <v>0</v>
      </c>
      <c r="L4" s="926">
        <f>IF(J4="Diaria",+(K4/360),IF(J4="Semanal",+(K4/52),IF(J4="Mensual",+(K4/12),IF(J4="Bimestral",+(K4/6),IF(J4="Trimestral",+(K4/4),IF(J4="Semestral",+(K4/2),IF(J4="Anual",+(K4/1),"")))))))</f>
        <v>0</v>
      </c>
      <c r="M4" s="933" t="s">
        <v>47</v>
      </c>
      <c r="N4" s="926">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0.4</v>
      </c>
      <c r="O4" s="933" t="s">
        <v>87</v>
      </c>
      <c r="P4" s="926">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1</v>
      </c>
      <c r="Q4" s="933" t="s">
        <v>73</v>
      </c>
      <c r="R4" s="926">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924" t="s">
        <v>60</v>
      </c>
      <c r="T4" s="924" t="s">
        <v>61</v>
      </c>
      <c r="U4" s="926">
        <f>+MAX(N4,P4,R4)</f>
        <v>1</v>
      </c>
      <c r="V4" s="912" t="str">
        <f>IF(L4&lt;=20%,"Muy baja",IF(L4&lt;=40%,"Baja",IF(L4&lt;=60%,"Media",IF(L4&lt;=80%,"Alta",IF(L4&lt;=100%,"Muy alta",IF(L4&gt;=100%,"Muy alta",""))))))</f>
        <v>Muy baja</v>
      </c>
      <c r="W4" s="926">
        <f>+IFERROR(VLOOKUP(V4,formulas!$F$1:$G$6,2,FALSE),"")</f>
        <v>0.2</v>
      </c>
      <c r="X4" s="911" t="str">
        <f>IF(U4=20%,"Leve",IF(U4=40%,"Menor",IF(U4=60%,"Moderado",IF(U4=80%,"Mayor",IF(U4=100%,"Catastrófico","")))))</f>
        <v>Catastrófico</v>
      </c>
      <c r="Y4" s="926">
        <f>+IFERROR(VLOOKUP(X4,formulas!$H$1:$I$6,2,FALSE),"")</f>
        <v>1</v>
      </c>
      <c r="Z4" s="911" t="str">
        <f>+IFERROR(VLOOKUP(V4&amp;X4,formulas!$C$2:$D$26,2,FALSE),"")</f>
        <v>Extremo</v>
      </c>
      <c r="AA4" s="926">
        <f>IF(Z4="Bajo",25%,IF(Z4="Moderado",50%,IF(Z4="Alto",75%,IF(Z4="Extremo",100%,""))))</f>
        <v>1</v>
      </c>
      <c r="AB4" s="933" t="s">
        <v>565</v>
      </c>
      <c r="AC4" s="659" t="s">
        <v>566</v>
      </c>
      <c r="AD4" s="661" t="s">
        <v>57</v>
      </c>
      <c r="AE4" s="656">
        <f t="shared" ref="AE4:AE9" si="0">IF(AD4="Preventivo",25%,IF(AD4="Detectivo",15%,IF(AD4="Correctivo",10%,"")))</f>
        <v>0.25</v>
      </c>
      <c r="AF4" s="661" t="s">
        <v>229</v>
      </c>
      <c r="AG4" s="656">
        <f t="shared" ref="AG4:AG9" si="1">IF(AF4="Manual",15%,IF(AF4="Automático",25%,""))</f>
        <v>0.15</v>
      </c>
      <c r="AH4" s="656">
        <f t="shared" ref="AH4:AH9" si="2">+AG4+AE4</f>
        <v>0.4</v>
      </c>
      <c r="AI4" s="661" t="s">
        <v>230</v>
      </c>
      <c r="AJ4" s="661" t="s">
        <v>24</v>
      </c>
      <c r="AK4" s="661" t="s">
        <v>567</v>
      </c>
      <c r="AL4" s="656">
        <f>+AA4*AH4</f>
        <v>0.4</v>
      </c>
      <c r="AM4" s="656">
        <f>+AA4-AL4</f>
        <v>0.6</v>
      </c>
      <c r="AN4" s="911" t="str">
        <f>+IF(C4="Corrupción","Moderado",IF(AM6&lt;=25%,"Bajo",IF(AM6&lt;=50%,"Moderado",IF(AM6&lt;=75%,"Alto",IF(AM6&gt;75%,"Extremo","")))))</f>
        <v>Moderado</v>
      </c>
      <c r="AO4" s="924" t="s">
        <v>59</v>
      </c>
      <c r="AP4" s="661">
        <v>1</v>
      </c>
      <c r="AQ4" s="739" t="s">
        <v>568</v>
      </c>
      <c r="AR4" s="613"/>
      <c r="AS4" s="176"/>
      <c r="AT4" s="176"/>
      <c r="AU4" s="613"/>
      <c r="AV4" s="613"/>
      <c r="AW4" s="613"/>
      <c r="AX4" s="613"/>
      <c r="AY4" s="613"/>
      <c r="AZ4" s="613"/>
      <c r="BA4" s="613"/>
      <c r="BB4" s="613"/>
      <c r="BC4" s="613"/>
      <c r="BD4" s="613"/>
      <c r="BE4" s="613"/>
    </row>
    <row r="5" spans="1:59" ht="84" customHeight="1">
      <c r="A5" s="931"/>
      <c r="B5" s="933"/>
      <c r="C5" s="933"/>
      <c r="D5" s="933"/>
      <c r="E5" s="933"/>
      <c r="F5" s="935"/>
      <c r="G5" s="933"/>
      <c r="H5" s="933"/>
      <c r="I5" s="933"/>
      <c r="J5" s="933"/>
      <c r="K5" s="933"/>
      <c r="L5" s="926"/>
      <c r="M5" s="933"/>
      <c r="N5" s="926"/>
      <c r="O5" s="933"/>
      <c r="P5" s="926"/>
      <c r="Q5" s="933"/>
      <c r="R5" s="926"/>
      <c r="S5" s="924"/>
      <c r="T5" s="924"/>
      <c r="U5" s="926"/>
      <c r="V5" s="915"/>
      <c r="W5" s="926"/>
      <c r="X5" s="821"/>
      <c r="Y5" s="926"/>
      <c r="Z5" s="821"/>
      <c r="AA5" s="926"/>
      <c r="AB5" s="933"/>
      <c r="AC5" s="659" t="s">
        <v>569</v>
      </c>
      <c r="AD5" s="661" t="s">
        <v>57</v>
      </c>
      <c r="AE5" s="656">
        <f t="shared" si="0"/>
        <v>0.25</v>
      </c>
      <c r="AF5" s="661" t="s">
        <v>229</v>
      </c>
      <c r="AG5" s="656">
        <f t="shared" si="1"/>
        <v>0.15</v>
      </c>
      <c r="AH5" s="656">
        <f t="shared" si="2"/>
        <v>0.4</v>
      </c>
      <c r="AI5" s="661" t="s">
        <v>230</v>
      </c>
      <c r="AJ5" s="661" t="s">
        <v>24</v>
      </c>
      <c r="AK5" s="661" t="s">
        <v>570</v>
      </c>
      <c r="AL5" s="656">
        <f>+AM4*AH5</f>
        <v>0.24</v>
      </c>
      <c r="AM5" s="656">
        <f>+AM4-AL5</f>
        <v>0.36</v>
      </c>
      <c r="AN5" s="821"/>
      <c r="AO5" s="924"/>
      <c r="AP5" s="661">
        <v>2</v>
      </c>
      <c r="AQ5" s="661" t="s">
        <v>571</v>
      </c>
      <c r="AR5" s="613"/>
      <c r="AS5" s="176"/>
      <c r="AT5" s="176"/>
      <c r="AU5" s="613"/>
      <c r="AV5" s="613"/>
      <c r="AW5" s="613"/>
      <c r="AX5" s="613"/>
      <c r="AY5" s="613"/>
      <c r="AZ5" s="613"/>
      <c r="BA5" s="613"/>
      <c r="BB5" s="613"/>
      <c r="BC5" s="613"/>
      <c r="BD5" s="613"/>
      <c r="BE5" s="613"/>
    </row>
    <row r="6" spans="1:59" ht="72" customHeight="1" thickBot="1">
      <c r="A6" s="932"/>
      <c r="B6" s="934"/>
      <c r="C6" s="934"/>
      <c r="D6" s="934"/>
      <c r="E6" s="934"/>
      <c r="F6" s="936"/>
      <c r="G6" s="934"/>
      <c r="H6" s="934"/>
      <c r="I6" s="934"/>
      <c r="J6" s="934"/>
      <c r="K6" s="934"/>
      <c r="L6" s="927"/>
      <c r="M6" s="934"/>
      <c r="N6" s="927"/>
      <c r="O6" s="934"/>
      <c r="P6" s="927"/>
      <c r="Q6" s="934"/>
      <c r="R6" s="927"/>
      <c r="S6" s="925"/>
      <c r="T6" s="925"/>
      <c r="U6" s="927"/>
      <c r="V6" s="913"/>
      <c r="W6" s="927"/>
      <c r="X6" s="822"/>
      <c r="Y6" s="927"/>
      <c r="Z6" s="822"/>
      <c r="AA6" s="927"/>
      <c r="AB6" s="934"/>
      <c r="AC6" s="660" t="s">
        <v>572</v>
      </c>
      <c r="AD6" s="662" t="s">
        <v>39</v>
      </c>
      <c r="AE6" s="657">
        <f t="shared" si="0"/>
        <v>0.15</v>
      </c>
      <c r="AF6" s="662" t="s">
        <v>229</v>
      </c>
      <c r="AG6" s="657">
        <f t="shared" si="1"/>
        <v>0.15</v>
      </c>
      <c r="AH6" s="657">
        <f t="shared" si="2"/>
        <v>0.3</v>
      </c>
      <c r="AI6" s="662" t="s">
        <v>230</v>
      </c>
      <c r="AJ6" s="662" t="s">
        <v>24</v>
      </c>
      <c r="AK6" s="662" t="s">
        <v>573</v>
      </c>
      <c r="AL6" s="657">
        <f>+AM5*AH6</f>
        <v>0.108</v>
      </c>
      <c r="AM6" s="657">
        <f>+AM5-AL6</f>
        <v>0.252</v>
      </c>
      <c r="AN6" s="822"/>
      <c r="AO6" s="925"/>
      <c r="AP6" s="662">
        <v>3</v>
      </c>
      <c r="AQ6" s="662" t="s">
        <v>574</v>
      </c>
      <c r="AR6" s="614"/>
      <c r="AS6" s="177"/>
      <c r="AT6" s="177"/>
      <c r="AU6" s="614"/>
      <c r="AV6" s="614"/>
      <c r="AW6" s="614"/>
      <c r="AX6" s="614"/>
      <c r="AY6" s="614"/>
      <c r="AZ6" s="614"/>
      <c r="BA6" s="614"/>
      <c r="BB6" s="614"/>
      <c r="BC6" s="614"/>
      <c r="BD6" s="614"/>
      <c r="BE6" s="614"/>
    </row>
    <row r="7" spans="1:59" ht="240.75" customHeight="1" thickBot="1">
      <c r="A7" s="253" t="s">
        <v>51</v>
      </c>
      <c r="B7" s="172" t="s">
        <v>98</v>
      </c>
      <c r="C7" s="172" t="s">
        <v>92</v>
      </c>
      <c r="D7" s="172" t="s">
        <v>12</v>
      </c>
      <c r="E7" s="172" t="s">
        <v>36</v>
      </c>
      <c r="F7" s="575" t="s">
        <v>575</v>
      </c>
      <c r="G7" s="172" t="s">
        <v>576</v>
      </c>
      <c r="H7" s="172" t="s">
        <v>577</v>
      </c>
      <c r="I7" s="172" t="s">
        <v>578</v>
      </c>
      <c r="J7" s="172" t="s">
        <v>99</v>
      </c>
      <c r="K7" s="172">
        <v>0</v>
      </c>
      <c r="L7" s="667">
        <f>IF(J7="Diaria",+(K7/360),IF(J7="Semanal",+(K7/52),IF(J7="Mensual",+(K7/12),IF(J7="Bimestral",+(K7/6),IF(J7="Trimestral",+(K7/4),IF(J7="Semestral",+(K7/2),IF(J7="Anual",+(K7/1),"")))))))</f>
        <v>0</v>
      </c>
      <c r="M7" s="172" t="s">
        <v>73</v>
      </c>
      <c r="N7" s="667">
        <f>IF(M7="Menor al 1% del patrimonio de la Lotería de Bogotá",20%,IF(M7="Entre el 1% y el 3% del patrimonio de la Lotería de Bogotá",40%,IF(M7="Entre el 3% y el 6% del patrimonio de la Lotería de Bogotá",60%,IF(M7="Entre el 6% y el 10% del patrimonio de la Lotería de Bogotá",80%,IF(M7="Mayor al 10% del patrimonio de la Lotería de Bogotá",100%,IF(M7="NA",0%,""))))))</f>
        <v>0</v>
      </c>
      <c r="O7" s="172" t="s">
        <v>87</v>
      </c>
      <c r="P7" s="667">
        <f>IF(O7="El riesgo afecta la imagen de algún área de la organización",20%,IF(O7="El riesgo afecta la imagen de la entidad internamente, de conocimiento general nivel interno, de junta directiva y accionistas y/o de proveedores",40%,IF(O7="El riesgo afecta la imagen de la entidad con algunos usuarios de relevancia frente al logro de los objetivos",60%,IF(O7="El riesgo afecta la imagen de la entidad con efecto publicitario sostenido a nivel de sector administrativo, nivel departamental o municipal",80%,IF(O7="El riesgo afecta la imagen de la entidad a nivel nacional, con efecto publicitario sostenido a nivel país",100%,IF(O7="NA",0%,""))))))</f>
        <v>1</v>
      </c>
      <c r="Q7" s="172" t="s">
        <v>73</v>
      </c>
      <c r="R7" s="666">
        <f>IF(Q7="Interrupción de la operación por menos de un día",20%,IF(Q7="Interrupción de la operación por un día completo",40%,IF(Q7="Interrupción de la operación mayor a 1 día y menor a 2 días",60%,IF(Q7="Interrupción de la operación por dos días completos",80%,IF(Q7="Interrupción de la operación por más de dos días",100%,IF(Q7="NA",0%,""))))))</f>
        <v>0</v>
      </c>
      <c r="S7" s="480" t="s">
        <v>60</v>
      </c>
      <c r="T7" s="480" t="s">
        <v>61</v>
      </c>
      <c r="U7" s="666">
        <f>+MAX(N7,P7,R7)</f>
        <v>1</v>
      </c>
      <c r="V7" s="753" t="str">
        <f>IF(L7&lt;=20%,"Muy baja",IF(L7&lt;=40%,"Baja",IF(L7&lt;=60%,"Media",IF(L7&lt;=80%,"Alta",IF(L7&lt;=100%,"Muy alta",IF(L7&gt;=100%,"Muy alta",""))))))</f>
        <v>Muy baja</v>
      </c>
      <c r="W7" s="666">
        <f>+IFERROR(VLOOKUP(V7,formulas!$F$1:$G$6,2,FALSE),"")</f>
        <v>0.2</v>
      </c>
      <c r="X7" s="750" t="str">
        <f>IF(U7=20%,"Leve",IF(U7=40%,"Menor",IF(U7=60%,"Moderado",IF(U7=80%,"Mayor",IF(U7=100%,"Catastrófico","")))))</f>
        <v>Catastrófico</v>
      </c>
      <c r="Y7" s="666">
        <f>+IFERROR(VLOOKUP(X7,formulas!$H$1:$I$6,2,FALSE),"")</f>
        <v>1</v>
      </c>
      <c r="Z7" s="750" t="str">
        <f>+IFERROR(VLOOKUP(V7&amp;X7,formulas!$C$2:$D$26,2,FALSE),"")</f>
        <v>Extremo</v>
      </c>
      <c r="AA7" s="666">
        <f>IF(Z7="Bajo",25%,IF(Z7="Moderado",50%,IF(Z7="Alto",75%,IF(Z7="Extremo",100%,""))))</f>
        <v>1</v>
      </c>
      <c r="AB7" s="740" t="s">
        <v>565</v>
      </c>
      <c r="AC7" s="597" t="s">
        <v>579</v>
      </c>
      <c r="AD7" s="333" t="s">
        <v>57</v>
      </c>
      <c r="AE7" s="666">
        <f t="shared" si="0"/>
        <v>0.25</v>
      </c>
      <c r="AF7" s="333" t="s">
        <v>229</v>
      </c>
      <c r="AG7" s="666">
        <f t="shared" si="1"/>
        <v>0.15</v>
      </c>
      <c r="AH7" s="666">
        <f t="shared" si="2"/>
        <v>0.4</v>
      </c>
      <c r="AI7" s="333" t="s">
        <v>230</v>
      </c>
      <c r="AJ7" s="333" t="s">
        <v>24</v>
      </c>
      <c r="AK7" s="333" t="s">
        <v>580</v>
      </c>
      <c r="AL7" s="666">
        <f>+AA7*AH7</f>
        <v>0.4</v>
      </c>
      <c r="AM7" s="666">
        <f>+AA7-AL7</f>
        <v>0.6</v>
      </c>
      <c r="AN7" s="750" t="str">
        <f>+IF(C7="Corrupción","Moderado",IF(AM7&lt;=25%,"Bajo",IF(AM7&lt;=50%,"Moderado",IF(AM7&lt;=75%,"Alto",IF(AM7&gt;75%,"Extremo","")))))</f>
        <v>Alto</v>
      </c>
      <c r="AO7" s="253" t="s">
        <v>59</v>
      </c>
      <c r="AP7" s="172">
        <v>1</v>
      </c>
      <c r="AQ7" s="741" t="s">
        <v>581</v>
      </c>
      <c r="AR7" s="612"/>
      <c r="AS7" s="178"/>
      <c r="AT7" s="178"/>
      <c r="AU7" s="612"/>
      <c r="AV7" s="612"/>
      <c r="AW7" s="612"/>
      <c r="AX7" s="612"/>
      <c r="AY7" s="612"/>
      <c r="AZ7" s="612"/>
      <c r="BA7" s="612"/>
      <c r="BB7" s="612"/>
      <c r="BC7" s="612"/>
      <c r="BD7" s="612"/>
      <c r="BE7" s="612"/>
    </row>
    <row r="8" spans="1:59" ht="314.25" customHeight="1" thickBot="1">
      <c r="A8" s="174" t="s">
        <v>51</v>
      </c>
      <c r="B8" s="175" t="s">
        <v>541</v>
      </c>
      <c r="C8" s="175" t="s">
        <v>58</v>
      </c>
      <c r="D8" s="175" t="s">
        <v>79</v>
      </c>
      <c r="E8" s="175" t="s">
        <v>80</v>
      </c>
      <c r="F8" s="564" t="s">
        <v>542</v>
      </c>
      <c r="G8" s="212" t="s">
        <v>457</v>
      </c>
      <c r="H8" s="564" t="s">
        <v>543</v>
      </c>
      <c r="I8" s="564" t="s">
        <v>544</v>
      </c>
      <c r="J8" s="213" t="s">
        <v>95</v>
      </c>
      <c r="K8" s="211">
        <v>1</v>
      </c>
      <c r="L8" s="173">
        <f>IF(J8="Diaria",+(K8/360),IF(J8="Semanal",+(K8/52),IF(J8="Mensual",+(K8/12),IF(J8="Bimestral",+(K8/6),IF(J8="Trimestral",+(K8/4),IF(J8="Semestral",+(K8/2),IF(J8="Anual",+(K8/1),"")))))))</f>
        <v>0.5</v>
      </c>
      <c r="M8" s="211" t="s">
        <v>47</v>
      </c>
      <c r="N8" s="173">
        <f>IF(M8="Menor al 1% del patrimonio de la Lotería de Bogotá",20%,IF(M8="Entre el 1% y el 3% del patrimonio de la Lotería de Bogotá",40%,IF(M8="Entre el 3% y el 6% del patrimonio de la Lotería de Bogotá",60%,IF(M8="Entre el 6% y el 10% del patrimonio de la Lotería de Bogotá",80%,IF(M8="Mayor al 10% del patrimonio de la Lotería de Bogotá",100%,IF(M8="NA",0%,""))))))</f>
        <v>0.4</v>
      </c>
      <c r="O8" s="214" t="s">
        <v>76</v>
      </c>
      <c r="P8" s="173">
        <f>IF(O8="El riesgo afecta la imagen de algún área de la organización",20%,IF(O8="El riesgo afecta la imagen de la entidad internamente, de conocimiento general nivel interno, de junta directiva y accionistas y/o de proveedores",40%,IF(O8="El riesgo afecta la imagen de la entidad con algunos usuarios de relevancia frente al logro de los objetivos",60%,IF(O8="El riesgo afecta la imagen de la entidad con efecto publicitario sostenido a nivel de sector administrativo, nivel departamental o municipal",80%,IF(O8="El riesgo afecta la imagen de la entidad a nivel nacional, con efecto publicitario sostenido a nivel país",100%,IF(O8="NA",0%,""))))))</f>
        <v>0.8</v>
      </c>
      <c r="Q8" s="211" t="s">
        <v>73</v>
      </c>
      <c r="R8" s="712">
        <f>IF(Q8="Interrupción de la operación por menos de un día",20%,IF(Q8="Interrupción de la operación por un día completo",40%,IF(Q8="Interrupción de la operación mayor a 1 día y menor a 2 días",60%,IF(Q8="Interrupción de la operación por dos días completos",80%,IF(Q8="Interrupción de la operación por más de dos días",100%,IF(Q8="NA",0%,""))))))</f>
        <v>0</v>
      </c>
      <c r="S8" s="426" t="s">
        <v>60</v>
      </c>
      <c r="T8" s="426" t="s">
        <v>73</v>
      </c>
      <c r="U8" s="712">
        <f>+MAX(N8,P8,R8)</f>
        <v>0.8</v>
      </c>
      <c r="V8" s="420" t="str">
        <f>IF(L8&lt;=20%,"Muy baja",IF(L8&lt;=40%,"Baja",IF(L8&lt;=60%,"Media",IF(L8&lt;=80%,"Alta",IF(L8&lt;=100%,"Muy alta",IF(L8&gt;=100%,"Muy alta",""))))))</f>
        <v>Media</v>
      </c>
      <c r="W8" s="712">
        <f>+IFERROR(VLOOKUP(V8,formulas!$F$1:$G$6,2,FALSE),"")</f>
        <v>0.6</v>
      </c>
      <c r="X8" s="619" t="str">
        <f>IF(U8=20%,"Leve",IF(U8=40%,"Menor",IF(U8=60%,"Moderado",IF(U8=80%,"Mayor",IF(U8=100%,"Catastrófico","")))))</f>
        <v>Mayor</v>
      </c>
      <c r="Y8" s="712">
        <f>+IFERROR(VLOOKUP(X8,formulas!$H$1:$I$6,2,FALSE),"")</f>
        <v>0.8</v>
      </c>
      <c r="Z8" s="619" t="str">
        <f>+IFERROR(VLOOKUP(V8&amp;X8,formulas!$C$2:$D$26,2,FALSE),"")</f>
        <v>Alto</v>
      </c>
      <c r="AA8" s="712">
        <f>IF(Z8="Bajo",25%,IF(Z8="Moderado",50%,IF(Z8="Alto",75%,IF(Z8="Extremo",100%,""))))</f>
        <v>0.75</v>
      </c>
      <c r="AB8" s="635"/>
      <c r="AC8" s="625" t="s">
        <v>545</v>
      </c>
      <c r="AD8" s="727" t="s">
        <v>57</v>
      </c>
      <c r="AE8" s="712">
        <f t="shared" si="0"/>
        <v>0.25</v>
      </c>
      <c r="AF8" s="727" t="s">
        <v>229</v>
      </c>
      <c r="AG8" s="712">
        <f t="shared" si="1"/>
        <v>0.15</v>
      </c>
      <c r="AH8" s="712">
        <f t="shared" si="2"/>
        <v>0.4</v>
      </c>
      <c r="AI8" s="727" t="s">
        <v>230</v>
      </c>
      <c r="AJ8" s="727" t="s">
        <v>24</v>
      </c>
      <c r="AK8" s="727" t="s">
        <v>546</v>
      </c>
      <c r="AL8" s="712">
        <f>+AA8*AH8</f>
        <v>0.30000000000000004</v>
      </c>
      <c r="AM8" s="712">
        <f>+AA8-AL8</f>
        <v>0.44999999999999996</v>
      </c>
      <c r="AN8" s="619" t="str">
        <f>+IF(C8="Corrupción","Moderado",IF(AM8&lt;=25%,"Bajo",IF(AM8&lt;=50%,"Moderado",IF(AM8&lt;=75%,"Alto",IF(AM8&gt;75%,"Extremo","")))))</f>
        <v>Moderado</v>
      </c>
      <c r="AO8" s="658" t="s">
        <v>59</v>
      </c>
      <c r="AP8" s="206">
        <v>1</v>
      </c>
      <c r="AQ8" s="175"/>
      <c r="AR8" s="175"/>
      <c r="AS8" s="200"/>
      <c r="AT8" s="200"/>
      <c r="AU8" s="175"/>
      <c r="AV8" s="175"/>
      <c r="AW8" s="175"/>
      <c r="AX8" s="175"/>
      <c r="AY8" s="175"/>
      <c r="AZ8" s="175"/>
      <c r="BA8" s="175"/>
      <c r="BB8" s="175"/>
      <c r="BC8" s="175"/>
      <c r="BD8" s="175"/>
      <c r="BE8" s="175"/>
    </row>
    <row r="9" spans="1:59" ht="290.25" customHeight="1" thickBot="1">
      <c r="A9" s="174" t="s">
        <v>231</v>
      </c>
      <c r="B9" s="175" t="s">
        <v>29</v>
      </c>
      <c r="C9" s="175" t="s">
        <v>92</v>
      </c>
      <c r="D9" s="175" t="s">
        <v>79</v>
      </c>
      <c r="E9" s="175" t="s">
        <v>36</v>
      </c>
      <c r="F9" s="564" t="s">
        <v>547</v>
      </c>
      <c r="G9" s="175" t="s">
        <v>548</v>
      </c>
      <c r="H9" s="742" t="s">
        <v>549</v>
      </c>
      <c r="I9" s="175" t="s">
        <v>550</v>
      </c>
      <c r="J9" s="175" t="s">
        <v>66</v>
      </c>
      <c r="K9" s="175">
        <v>1</v>
      </c>
      <c r="L9" s="173">
        <f>IF(J9="Diaria",+(K9/360),IF(J9="Semanal",+(K9/52),IF(J9="Mensual",+(K9/12),IF(J9="Bimestral",+(K9/6),IF(J9="Trimestral",+(K9/4),IF(J9="Semestral",+(K9/2),IF(J9="Anual",+(K9/1),"")))))))</f>
        <v>8.3333333333333329E-2</v>
      </c>
      <c r="M9" s="175" t="s">
        <v>73</v>
      </c>
      <c r="N9" s="173">
        <f>IF(M9="Menor al 1% del patrimonio de la Lotería de Bogotá",20%,IF(M9="Entre el 1% y el 3% del patrimonio de la Lotería de Bogotá",40%,IF(M9="Entre el 3% y el 6% del patrimonio de la Lotería de Bogotá",60%,IF(M9="Entre el 6% y el 10% del patrimonio de la Lotería de Bogotá",80%,IF(M9="Mayor al 10% del patrimonio de la Lotería de Bogotá",100%,IF(M9="NA",0%,""))))))</f>
        <v>0</v>
      </c>
      <c r="O9" s="175" t="s">
        <v>31</v>
      </c>
      <c r="P9" s="173">
        <f>IF(O9="El riesgo afecta la imagen de algún área de la organización",20%,IF(O9="El riesgo afecta la imagen de la entidad internamente, de conocimiento general nivel interno, de junta directiva y accionistas y/o de proveedores",40%,IF(O9="El riesgo afecta la imagen de la entidad con algunos usuarios de relevancia frente al logro de los objetivos",60%,IF(O9="El riesgo afecta la imagen de la entidad con efecto publicitario sostenido a nivel de sector administrativo, nivel departamental o municipal",80%,IF(O9="El riesgo afecta la imagen de la entidad a nivel nacional, con efecto publicitario sostenido a nivel país",100%,IF(O9="NA",0%,""))))))</f>
        <v>0.2</v>
      </c>
      <c r="Q9" s="175" t="s">
        <v>73</v>
      </c>
      <c r="R9" s="173">
        <f>IF(Q9="Interrupción de la operación por menos de un día",20%,IF(Q9="Interrupción de la operación por un día completo",40%,IF(Q9="Interrupción de la operación mayor a 1 día y menor a 2 días",60%,IF(Q9="Interrupción de la operación por dos días completos",80%,IF(Q9="Interrupción de la operación por más de dos días",100%,IF(Q9="NA",0%,""))))))</f>
        <v>0</v>
      </c>
      <c r="S9" s="658" t="s">
        <v>60</v>
      </c>
      <c r="T9" s="658" t="s">
        <v>45</v>
      </c>
      <c r="U9" s="712">
        <f>+MAX(N9,P9,R9)</f>
        <v>0.2</v>
      </c>
      <c r="V9" s="420" t="str">
        <f>IF(L9&lt;=20%,"Muy baja",IF(L9&lt;=40%,"Baja",IF(L9&lt;=60%,"Media",IF(L9&lt;=80%,"Alta",IF(L9&lt;=100%,"Muy alta",IF(L9&gt;=100%,"Muy alta",""))))))</f>
        <v>Muy baja</v>
      </c>
      <c r="W9" s="712">
        <f>+IFERROR(VLOOKUP(V9,formulas!$F$1:$G$6,2,FALSE),"")</f>
        <v>0.2</v>
      </c>
      <c r="X9" s="619" t="str">
        <f>IF(U9=20%,"Leve",IF(U9=40%,"Menor",IF(U9=60%,"Moderado",IF(U9=80%,"Mayor",IF(U9=100%,"Catastrófico","")))))</f>
        <v>Leve</v>
      </c>
      <c r="Y9" s="712">
        <f>+IFERROR(VLOOKUP(X9,formulas!$H$1:$I$6,2,FALSE),"")</f>
        <v>0.2</v>
      </c>
      <c r="Z9" s="619" t="str">
        <f>+IFERROR(VLOOKUP(V9&amp;X9,formulas!$C$2:$D$26,2,FALSE),"")</f>
        <v>Bajo</v>
      </c>
      <c r="AA9" s="712">
        <f>IF(Z9="Bajo",25%,IF(Z9="Moderado",50%,IF(Z9="Alto",75%,IF(Z9="Extremo",100%,""))))</f>
        <v>0.25</v>
      </c>
      <c r="AB9" s="689" t="s">
        <v>551</v>
      </c>
      <c r="AC9" s="743" t="s">
        <v>552</v>
      </c>
      <c r="AD9" s="716" t="s">
        <v>57</v>
      </c>
      <c r="AE9" s="712">
        <f t="shared" si="0"/>
        <v>0.25</v>
      </c>
      <c r="AF9" s="716" t="s">
        <v>553</v>
      </c>
      <c r="AG9" s="712">
        <f t="shared" si="1"/>
        <v>0.25</v>
      </c>
      <c r="AH9" s="712">
        <f t="shared" si="2"/>
        <v>0.5</v>
      </c>
      <c r="AI9" s="716" t="s">
        <v>24</v>
      </c>
      <c r="AJ9" s="727" t="s">
        <v>24</v>
      </c>
      <c r="AK9" s="716" t="s">
        <v>554</v>
      </c>
      <c r="AL9" s="712">
        <f>+AA9*AH9</f>
        <v>0.125</v>
      </c>
      <c r="AM9" s="712">
        <f>+AA9-AL9</f>
        <v>0.125</v>
      </c>
      <c r="AN9" s="619" t="str">
        <f>+IF(C9="Corrupción","Moderado",IF(AM9&lt;=25%,"Bajo",IF(AM9&lt;=50%,"Moderado",IF(AM9&lt;=75%,"Alto",IF(AM9&gt;75%,"Extremo","")))))</f>
        <v>Bajo</v>
      </c>
      <c r="AO9" s="658" t="s">
        <v>59</v>
      </c>
      <c r="AP9" s="210">
        <v>1</v>
      </c>
      <c r="AQ9" s="175"/>
      <c r="AR9" s="175"/>
      <c r="AS9" s="200"/>
      <c r="AT9" s="200"/>
      <c r="AU9" s="175"/>
      <c r="AV9" s="175"/>
      <c r="AW9" s="175"/>
      <c r="AX9" s="175"/>
      <c r="AY9" s="175"/>
      <c r="AZ9" s="175"/>
      <c r="BA9" s="175"/>
      <c r="BB9" s="175"/>
      <c r="BC9" s="175"/>
      <c r="BD9" s="175"/>
      <c r="BE9" s="175"/>
    </row>
  </sheetData>
  <mergeCells count="51">
    <mergeCell ref="AV1:BE1"/>
    <mergeCell ref="AC2:AC3"/>
    <mergeCell ref="AD2:AG2"/>
    <mergeCell ref="AH2:AH3"/>
    <mergeCell ref="AI2:AK2"/>
    <mergeCell ref="AR2:AR3"/>
    <mergeCell ref="AS2:AS3"/>
    <mergeCell ref="AT2:AT3"/>
    <mergeCell ref="AV2:AZ2"/>
    <mergeCell ref="BA2:BE2"/>
    <mergeCell ref="AJ3:AK3"/>
    <mergeCell ref="AL2:AN3"/>
    <mergeCell ref="AO2:AO3"/>
    <mergeCell ref="AP2:AQ3"/>
    <mergeCell ref="A1:T2"/>
    <mergeCell ref="U1:AB2"/>
    <mergeCell ref="AC1:AK1"/>
    <mergeCell ref="AM1:AO1"/>
    <mergeCell ref="AP1:AU1"/>
    <mergeCell ref="AU2:AU3"/>
    <mergeCell ref="G3:H3"/>
    <mergeCell ref="R4:R6"/>
    <mergeCell ref="S4:S6"/>
    <mergeCell ref="J4:J6"/>
    <mergeCell ref="K4:K6"/>
    <mergeCell ref="N4:N6"/>
    <mergeCell ref="O4:O6"/>
    <mergeCell ref="P4:P6"/>
    <mergeCell ref="Q4:Q6"/>
    <mergeCell ref="L4:L6"/>
    <mergeCell ref="M4:M6"/>
    <mergeCell ref="F4:F6"/>
    <mergeCell ref="G4:G6"/>
    <mergeCell ref="H4:H6"/>
    <mergeCell ref="I4:I6"/>
    <mergeCell ref="AO4:AO6"/>
    <mergeCell ref="AB4:AB6"/>
    <mergeCell ref="V4:V6"/>
    <mergeCell ref="W4:W6"/>
    <mergeCell ref="X4:X6"/>
    <mergeCell ref="Y4:Y6"/>
    <mergeCell ref="A4:A6"/>
    <mergeCell ref="B4:B6"/>
    <mergeCell ref="C4:C6"/>
    <mergeCell ref="D4:D6"/>
    <mergeCell ref="E4:E6"/>
    <mergeCell ref="T4:T6"/>
    <mergeCell ref="U4:U6"/>
    <mergeCell ref="AN4:AN6"/>
    <mergeCell ref="Z4:Z6"/>
    <mergeCell ref="AA4:AA6"/>
  </mergeCells>
  <conditionalFormatting sqref="V4 V7:V9">
    <cfRule type="expression" dxfId="461" priority="31" stopIfTrue="1">
      <formula>NOT(ISERROR(SEARCH("Muy alta",V4)))</formula>
    </cfRule>
    <cfRule type="expression" dxfId="460" priority="32" stopIfTrue="1">
      <formula>NOT(ISERROR(SEARCH("Alta",V4)))</formula>
    </cfRule>
    <cfRule type="expression" dxfId="459" priority="33" stopIfTrue="1">
      <formula>NOT(ISERROR(SEARCH("Media",V4)))</formula>
    </cfRule>
  </conditionalFormatting>
  <conditionalFormatting sqref="X4 X7:X9">
    <cfRule type="containsText" dxfId="458" priority="15" operator="containsText" text="Catastrófico">
      <formula>NOT(ISERROR(SEARCH("Catastrófico",X4)))</formula>
    </cfRule>
    <cfRule type="containsText" dxfId="457" priority="16" operator="containsText" text="Mayor">
      <formula>NOT(ISERROR(SEARCH("Mayor",X4)))</formula>
    </cfRule>
    <cfRule type="containsText" dxfId="456" priority="17" operator="containsText" text="Moderado">
      <formula>NOT(ISERROR(SEARCH("Moderado",X4)))</formula>
    </cfRule>
    <cfRule type="containsText" dxfId="455" priority="18" operator="containsText" text="Menor">
      <formula>NOT(ISERROR(SEARCH("Menor",X4)))</formula>
    </cfRule>
    <cfRule type="containsText" dxfId="454" priority="19" operator="containsText" text="Leve">
      <formula>NOT(ISERROR(SEARCH("Leve",X4)))</formula>
    </cfRule>
  </conditionalFormatting>
  <conditionalFormatting sqref="Z4 Z7:Z9">
    <cfRule type="containsText" dxfId="453" priority="11" operator="containsText" text="Alto">
      <formula>NOT(ISERROR(SEARCH("Alto",Z4)))</formula>
    </cfRule>
    <cfRule type="containsText" dxfId="452" priority="12" operator="containsText" text="Moderado">
      <formula>NOT(ISERROR(SEARCH("Moderado",Z4)))</formula>
    </cfRule>
    <cfRule type="containsText" dxfId="451" priority="13" operator="containsText" text="Extremo">
      <formula>NOT(ISERROR(SEARCH("Extremo",Z4)))</formula>
    </cfRule>
    <cfRule type="containsText" dxfId="450" priority="14" operator="containsText" text="Bajo">
      <formula>NOT(ISERROR(SEARCH("Bajo",Z4)))</formula>
    </cfRule>
  </conditionalFormatting>
  <conditionalFormatting sqref="AI8">
    <cfRule type="containsText" dxfId="449" priority="28" operator="containsText" text="BAJA">
      <formula>NOT(ISERROR(SEARCH("BAJA",AI8)))</formula>
    </cfRule>
    <cfRule type="containsText" dxfId="448" priority="29" operator="containsText" text="MEDIA">
      <formula>NOT(ISERROR(SEARCH("MEDIA",AI8)))</formula>
    </cfRule>
    <cfRule type="containsText" dxfId="447" priority="30" operator="containsText" text="ALTA">
      <formula>NOT(ISERROR(SEARCH("ALTA",AI8)))</formula>
    </cfRule>
  </conditionalFormatting>
  <dataValidations count="3">
    <dataValidation type="list" allowBlank="1" showInputMessage="1" showErrorMessage="1" sqref="AF4:AF9">
      <formula1>"Manual,Automático"</formula1>
    </dataValidation>
    <dataValidation type="list" allowBlank="1" showInputMessage="1" showErrorMessage="1" sqref="AI4:AI9">
      <formula1>"Confiable,No confiable"</formula1>
    </dataValidation>
    <dataValidation type="list" allowBlank="1" showInputMessage="1" showErrorMessage="1" sqref="A4:A9">
      <formula1>"SI,NO"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7"/>
  <sheetViews>
    <sheetView topLeftCell="E16" zoomScale="59" zoomScaleNormal="59" workbookViewId="0">
      <selection activeCell="G17" sqref="G17"/>
    </sheetView>
  </sheetViews>
  <sheetFormatPr baseColWidth="10" defaultColWidth="17.28515625" defaultRowHeight="15"/>
  <cols>
    <col min="1" max="1" width="14.140625" style="63" customWidth="1"/>
    <col min="2" max="2" width="14" style="63" customWidth="1"/>
    <col min="3" max="3" width="17.28515625" style="63" customWidth="1"/>
    <col min="4" max="4" width="19.42578125" style="63" customWidth="1"/>
    <col min="5" max="5" width="19.5703125" style="63" customWidth="1"/>
    <col min="6" max="6" width="59.7109375" style="53" customWidth="1"/>
    <col min="7" max="7" width="9.7109375" style="63" customWidth="1"/>
    <col min="8" max="8" width="47.140625" style="63" customWidth="1"/>
    <col min="9" max="9" width="44.28515625" style="63" customWidth="1"/>
    <col min="10" max="10" width="14.7109375" style="63" bestFit="1" customWidth="1"/>
    <col min="11" max="11" width="16.7109375" style="63" customWidth="1"/>
    <col min="12" max="12" width="19.28515625" style="63" customWidth="1"/>
    <col min="13" max="13" width="46.140625" style="63" customWidth="1"/>
    <col min="14" max="14" width="19.28515625" style="63" customWidth="1"/>
    <col min="15" max="15" width="45.28515625" style="63" customWidth="1"/>
    <col min="16" max="16" width="17.7109375" style="63" customWidth="1"/>
    <col min="17" max="17" width="32.42578125" style="63" customWidth="1"/>
    <col min="18" max="18" width="17.140625" style="63" customWidth="1"/>
    <col min="19" max="21" width="21.85546875" style="63" customWidth="1"/>
    <col min="22" max="22" width="15" style="63" customWidth="1"/>
    <col min="23" max="23" width="12.28515625" style="239" customWidth="1"/>
    <col min="24" max="24" width="13.7109375" style="63" customWidth="1"/>
    <col min="25" max="25" width="14.7109375" style="239" customWidth="1"/>
    <col min="26" max="26" width="16.85546875" style="63" bestFit="1" customWidth="1"/>
    <col min="27" max="27" width="7.85546875" style="63" customWidth="1"/>
    <col min="28" max="28" width="28.140625" style="63" customWidth="1"/>
    <col min="29" max="29" width="70.85546875" style="63" customWidth="1"/>
    <col min="30" max="30" width="10" style="63" bestFit="1" customWidth="1"/>
    <col min="31" max="31" width="8.42578125" style="239" customWidth="1"/>
    <col min="32" max="32" width="20.28515625" style="239" customWidth="1"/>
    <col min="33" max="33" width="9" style="239" customWidth="1"/>
    <col min="34" max="34" width="14.140625" style="239" customWidth="1"/>
    <col min="35" max="35" width="16.42578125" style="63" customWidth="1"/>
    <col min="36" max="36" width="14.7109375" style="63" customWidth="1"/>
    <col min="37" max="37" width="36.5703125" style="63" customWidth="1"/>
    <col min="38" max="38" width="13.7109375" style="63" customWidth="1"/>
    <col min="39" max="39" width="13.7109375" style="239" customWidth="1"/>
    <col min="40" max="40" width="13.7109375" style="63" customWidth="1"/>
    <col min="41" max="41" width="15.28515625" style="63" customWidth="1"/>
    <col min="42" max="42" width="2.28515625" style="63" customWidth="1"/>
    <col min="43" max="43" width="49.28515625" style="63" customWidth="1"/>
    <col min="44" max="44" width="17" style="63" customWidth="1"/>
    <col min="45" max="46" width="11.5703125" style="238" customWidth="1"/>
    <col min="47" max="47" width="21.85546875" style="63" customWidth="1"/>
    <col min="48" max="57" width="18.140625" style="63" customWidth="1"/>
    <col min="58" max="216" width="11.42578125" style="63" customWidth="1"/>
    <col min="217" max="217" width="21.85546875" style="63" customWidth="1"/>
    <col min="218" max="218" width="13.85546875" style="63" customWidth="1"/>
    <col min="219" max="219" width="38.7109375" style="63" customWidth="1"/>
    <col min="220" max="220" width="3" style="63" bestFit="1" customWidth="1"/>
    <col min="221" max="221" width="32.28515625" style="63" customWidth="1"/>
    <col min="222" max="222" width="46.28515625" style="63" customWidth="1"/>
    <col min="223" max="223" width="19" style="63" customWidth="1"/>
    <col min="224" max="224" width="11.42578125" style="63" customWidth="1"/>
    <col min="225" max="225" width="17.7109375" style="63" customWidth="1"/>
    <col min="226" max="226" width="11.42578125" style="63" customWidth="1"/>
    <col min="227" max="227" width="22.28515625" style="63" customWidth="1"/>
    <col min="228" max="228" width="5.28515625" style="63" customWidth="1"/>
    <col min="229" max="229" width="36.28515625" style="63" customWidth="1"/>
    <col min="230" max="230" width="5.7109375" style="63" customWidth="1"/>
    <col min="231" max="231" width="11.42578125" style="63" customWidth="1"/>
    <col min="232" max="232" width="20.7109375" style="63" customWidth="1"/>
    <col min="233" max="233" width="4.85546875" style="63" customWidth="1"/>
    <col min="234" max="234" width="11.42578125" style="63" customWidth="1"/>
    <col min="235" max="235" width="24.7109375" style="63" customWidth="1"/>
    <col min="236" max="236" width="12.28515625" style="63" customWidth="1"/>
    <col min="237" max="237" width="11.42578125" style="63" customWidth="1"/>
    <col min="238" max="238" width="3.42578125" style="63" customWidth="1"/>
    <col min="239" max="239" width="11.42578125" style="63" customWidth="1"/>
    <col min="240" max="240" width="17.7109375" style="63" customWidth="1"/>
    <col min="241" max="241" width="3.42578125" style="63" customWidth="1"/>
    <col min="242" max="242" width="11.42578125" style="63" customWidth="1"/>
    <col min="243" max="243" width="23.7109375" style="63" customWidth="1"/>
    <col min="244" max="244" width="10" style="63" customWidth="1"/>
    <col min="245" max="245" width="11.42578125" style="63" customWidth="1"/>
    <col min="246" max="247" width="14.7109375" style="63" customWidth="1"/>
    <col min="248" max="248" width="12.85546875" style="63" customWidth="1"/>
    <col min="249" max="249" width="3.28515625" style="63" customWidth="1"/>
    <col min="250" max="250" width="30.28515625" style="63" customWidth="1"/>
    <col min="251" max="251" width="5" style="63" customWidth="1"/>
    <col min="252" max="252" width="11.42578125" style="63" customWidth="1"/>
    <col min="253" max="253" width="14.28515625" style="63" customWidth="1"/>
    <col min="254" max="254" width="5.7109375" style="63" customWidth="1"/>
    <col min="255" max="255" width="11.42578125" style="63" customWidth="1"/>
    <col min="256" max="16384" width="17.28515625" style="63"/>
  </cols>
  <sheetData>
    <row r="1" spans="1:59" ht="45">
      <c r="A1" s="887" t="s">
        <v>180</v>
      </c>
      <c r="B1" s="887"/>
      <c r="C1" s="887"/>
      <c r="D1" s="887"/>
      <c r="E1" s="887"/>
      <c r="F1" s="887"/>
      <c r="G1" s="887"/>
      <c r="H1" s="887"/>
      <c r="I1" s="887"/>
      <c r="J1" s="887"/>
      <c r="K1" s="887"/>
      <c r="L1" s="887"/>
      <c r="M1" s="887"/>
      <c r="N1" s="887"/>
      <c r="O1" s="887"/>
      <c r="P1" s="887"/>
      <c r="Q1" s="887"/>
      <c r="R1" s="887"/>
      <c r="S1" s="887"/>
      <c r="T1" s="887"/>
      <c r="U1" s="804" t="s">
        <v>181</v>
      </c>
      <c r="V1" s="804"/>
      <c r="W1" s="804"/>
      <c r="X1" s="804"/>
      <c r="Y1" s="804"/>
      <c r="Z1" s="804"/>
      <c r="AA1" s="804"/>
      <c r="AB1" s="804"/>
      <c r="AC1" s="888" t="s">
        <v>182</v>
      </c>
      <c r="AD1" s="888"/>
      <c r="AE1" s="888"/>
      <c r="AF1" s="888"/>
      <c r="AG1" s="888"/>
      <c r="AH1" s="888"/>
      <c r="AI1" s="888"/>
      <c r="AJ1" s="888"/>
      <c r="AK1" s="888"/>
      <c r="AL1" s="92"/>
      <c r="AM1" s="889" t="s">
        <v>183</v>
      </c>
      <c r="AN1" s="889"/>
      <c r="AO1" s="889"/>
      <c r="AP1" s="890"/>
      <c r="AQ1" s="890"/>
      <c r="AR1" s="890"/>
      <c r="AS1" s="890"/>
      <c r="AT1" s="890"/>
      <c r="AU1" s="890"/>
      <c r="AV1" s="891"/>
      <c r="AW1" s="891"/>
      <c r="AX1" s="891"/>
      <c r="AY1" s="891"/>
      <c r="AZ1" s="891"/>
      <c r="BA1" s="891"/>
      <c r="BB1" s="891"/>
      <c r="BC1" s="891"/>
      <c r="BD1" s="891"/>
      <c r="BE1" s="891"/>
      <c r="BF1" s="78" t="s">
        <v>467</v>
      </c>
      <c r="BG1" s="78" t="s">
        <v>468</v>
      </c>
    </row>
    <row r="2" spans="1:59" ht="18.75">
      <c r="A2" s="887"/>
      <c r="B2" s="887"/>
      <c r="C2" s="887"/>
      <c r="D2" s="887"/>
      <c r="E2" s="887"/>
      <c r="F2" s="887"/>
      <c r="G2" s="887"/>
      <c r="H2" s="887"/>
      <c r="I2" s="887"/>
      <c r="J2" s="887"/>
      <c r="K2" s="887"/>
      <c r="L2" s="887"/>
      <c r="M2" s="887"/>
      <c r="N2" s="887"/>
      <c r="O2" s="887"/>
      <c r="P2" s="887"/>
      <c r="Q2" s="887"/>
      <c r="R2" s="887"/>
      <c r="S2" s="887"/>
      <c r="T2" s="887"/>
      <c r="U2" s="804"/>
      <c r="V2" s="804"/>
      <c r="W2" s="804"/>
      <c r="X2" s="804"/>
      <c r="Y2" s="804"/>
      <c r="Z2" s="804"/>
      <c r="AA2" s="804"/>
      <c r="AB2" s="804"/>
      <c r="AC2" s="810" t="s">
        <v>185</v>
      </c>
      <c r="AD2" s="810" t="s">
        <v>187</v>
      </c>
      <c r="AE2" s="810"/>
      <c r="AF2" s="810"/>
      <c r="AG2" s="810"/>
      <c r="AH2" s="810" t="s">
        <v>188</v>
      </c>
      <c r="AI2" s="810" t="s">
        <v>189</v>
      </c>
      <c r="AJ2" s="810"/>
      <c r="AK2" s="810"/>
      <c r="AL2" s="813" t="s">
        <v>190</v>
      </c>
      <c r="AM2" s="813"/>
      <c r="AN2" s="813"/>
      <c r="AO2" s="813" t="s">
        <v>9</v>
      </c>
      <c r="AP2" s="798" t="s">
        <v>191</v>
      </c>
      <c r="AQ2" s="798"/>
      <c r="AR2" s="798" t="s">
        <v>146</v>
      </c>
      <c r="AS2" s="798" t="s">
        <v>192</v>
      </c>
      <c r="AT2" s="798" t="s">
        <v>193</v>
      </c>
      <c r="AU2" s="798" t="s">
        <v>194</v>
      </c>
      <c r="AV2" s="865" t="s">
        <v>197</v>
      </c>
      <c r="AW2" s="865"/>
      <c r="AX2" s="865"/>
      <c r="AY2" s="865"/>
      <c r="AZ2" s="865"/>
      <c r="BA2" s="865" t="s">
        <v>198</v>
      </c>
      <c r="BB2" s="865"/>
      <c r="BC2" s="865"/>
      <c r="BD2" s="865"/>
      <c r="BE2" s="865"/>
      <c r="BF2" s="59"/>
      <c r="BG2" s="59"/>
    </row>
    <row r="3" spans="1:59" s="46" customFormat="1" ht="94.5" thickBot="1">
      <c r="A3" s="669" t="s">
        <v>199</v>
      </c>
      <c r="B3" s="669" t="s">
        <v>144</v>
      </c>
      <c r="C3" s="669" t="s">
        <v>6</v>
      </c>
      <c r="D3" s="669" t="s">
        <v>1</v>
      </c>
      <c r="E3" s="669" t="s">
        <v>2</v>
      </c>
      <c r="F3" s="569" t="s">
        <v>200</v>
      </c>
      <c r="G3" s="957" t="s">
        <v>201</v>
      </c>
      <c r="H3" s="957"/>
      <c r="I3" s="669" t="s">
        <v>202</v>
      </c>
      <c r="J3" s="669" t="s">
        <v>16</v>
      </c>
      <c r="K3" s="669" t="s">
        <v>203</v>
      </c>
      <c r="L3" s="669" t="s">
        <v>204</v>
      </c>
      <c r="M3" s="669" t="s">
        <v>13</v>
      </c>
      <c r="N3" s="669" t="s">
        <v>176</v>
      </c>
      <c r="O3" s="669" t="s">
        <v>14</v>
      </c>
      <c r="P3" s="669" t="s">
        <v>176</v>
      </c>
      <c r="Q3" s="669" t="s">
        <v>15</v>
      </c>
      <c r="R3" s="669" t="s">
        <v>176</v>
      </c>
      <c r="S3" s="669" t="s">
        <v>205</v>
      </c>
      <c r="T3" s="669" t="s">
        <v>11</v>
      </c>
      <c r="U3" s="96" t="s">
        <v>206</v>
      </c>
      <c r="V3" s="97" t="s">
        <v>207</v>
      </c>
      <c r="W3" s="96" t="s">
        <v>176</v>
      </c>
      <c r="X3" s="97" t="s">
        <v>208</v>
      </c>
      <c r="Y3" s="96" t="s">
        <v>176</v>
      </c>
      <c r="Z3" s="97" t="s">
        <v>209</v>
      </c>
      <c r="AA3" s="97" t="s">
        <v>176</v>
      </c>
      <c r="AB3" s="97" t="s">
        <v>210</v>
      </c>
      <c r="AC3" s="956"/>
      <c r="AD3" s="668" t="s">
        <v>5</v>
      </c>
      <c r="AE3" s="98" t="s">
        <v>211</v>
      </c>
      <c r="AF3" s="668" t="s">
        <v>212</v>
      </c>
      <c r="AG3" s="668" t="s">
        <v>211</v>
      </c>
      <c r="AH3" s="956"/>
      <c r="AI3" s="668" t="s">
        <v>213</v>
      </c>
      <c r="AJ3" s="956" t="s">
        <v>7</v>
      </c>
      <c r="AK3" s="956"/>
      <c r="AL3" s="960"/>
      <c r="AM3" s="960"/>
      <c r="AN3" s="960"/>
      <c r="AO3" s="960"/>
      <c r="AP3" s="958"/>
      <c r="AQ3" s="958"/>
      <c r="AR3" s="958"/>
      <c r="AS3" s="958"/>
      <c r="AT3" s="958"/>
      <c r="AU3" s="958"/>
      <c r="AV3" s="99" t="s">
        <v>217</v>
      </c>
      <c r="AW3" s="99" t="s">
        <v>218</v>
      </c>
      <c r="AX3" s="99" t="s">
        <v>219</v>
      </c>
      <c r="AY3" s="100" t="s">
        <v>220</v>
      </c>
      <c r="AZ3" s="100" t="s">
        <v>221</v>
      </c>
      <c r="BA3" s="99" t="s">
        <v>217</v>
      </c>
      <c r="BB3" s="99" t="s">
        <v>218</v>
      </c>
      <c r="BC3" s="99" t="s">
        <v>219</v>
      </c>
      <c r="BD3" s="100" t="s">
        <v>220</v>
      </c>
      <c r="BE3" s="100" t="s">
        <v>221</v>
      </c>
      <c r="BF3" s="101"/>
      <c r="BG3" s="101"/>
    </row>
    <row r="4" spans="1:59" s="249" customFormat="1" ht="147" customHeight="1" thickTop="1" thickBot="1">
      <c r="A4" s="151" t="s">
        <v>231</v>
      </c>
      <c r="B4" s="152" t="s">
        <v>85</v>
      </c>
      <c r="C4" s="152" t="s">
        <v>92</v>
      </c>
      <c r="D4" s="152" t="s">
        <v>18</v>
      </c>
      <c r="E4" s="152" t="s">
        <v>96</v>
      </c>
      <c r="F4" s="570" t="s">
        <v>583</v>
      </c>
      <c r="G4" s="152" t="s">
        <v>584</v>
      </c>
      <c r="H4" s="153" t="s">
        <v>585</v>
      </c>
      <c r="I4" s="152" t="s">
        <v>586</v>
      </c>
      <c r="J4" s="152" t="s">
        <v>66</v>
      </c>
      <c r="K4" s="152">
        <v>3</v>
      </c>
      <c r="L4" s="241">
        <f>IF(J4="Diaria",+(K4/360),IF(J4="Semanal",+(K4/52),IF(J4="Mensual",+(K4/12),IF(J4="Bimestral",+(K4/6),IF(J4="Trimestral",+(K4/4),IF(J4="Semestral",+(K4/2),IF(J4="Anual",+(K4/1),"")))))))</f>
        <v>0.25</v>
      </c>
      <c r="M4" s="152" t="s">
        <v>47</v>
      </c>
      <c r="N4" s="241">
        <f>IF(M4="Menor al 1% del patrimonio de la Lotería de Bogotá",20%,IF(M4="Entre el 1% y el 3% del patrimonio de la Lotería de Bogotá",40%,IF(M4="Entre el 3% y el 6% del patrimonio de la Lotería de Bogotá",60%,IF(M4="Entre el 6% y el 10% del patrimonio de la Lotería de Bogotá",80%,IF(M4="Mayor al 10% del patrimonio de la Lotería de Bogotá",100%,IF(M4="NA",0%,""))))))</f>
        <v>0.4</v>
      </c>
      <c r="O4" s="154" t="s">
        <v>76</v>
      </c>
      <c r="P4" s="241">
        <f>IF(O4="El riesgo afecta la imagen de algún área de la organización",20%,IF(O4="El riesgo afecta la imagen de la entidad internamente, de conocimiento general nivel interno, de junta directiva y accionistas y/o de proveedores",40%,IF(O4="El riesgo afecta la imagen de la entidad con algunos usuarios de relevancia frente al logro de los objetivos",60%,IF(O4="El riesgo afecta la imagen de la entidad con efecto publicitario sostenido a nivel de sector administrativo, nivel departamental o municipal",80%,IF(O4="El riesgo afecta la imagen de la entidad a nivel nacional, con efecto publicitario sostenido a nivel país",100%,IF(O4="NA",0%,""))))))</f>
        <v>0.8</v>
      </c>
      <c r="Q4" s="152" t="s">
        <v>73</v>
      </c>
      <c r="R4" s="464">
        <f>IF(Q4="Interrupción de la operación por menos de un día",20%,IF(Q4="Interrupción de la operación por un día completo",40%,IF(Q4="Interrupción de la operación mayor a 1 día y menor a 2 días",60%,IF(Q4="Interrupción de la operación por dos días completos",80%,IF(Q4="Interrupción de la operación por más de dos días",100%,IF(Q4="NA",0%,""))))))</f>
        <v>0</v>
      </c>
      <c r="S4" s="465" t="s">
        <v>60</v>
      </c>
      <c r="T4" s="465" t="s">
        <v>73</v>
      </c>
      <c r="U4" s="464">
        <f>+MAX(N4,P4,R4)</f>
        <v>0.8</v>
      </c>
      <c r="V4" s="424" t="str">
        <f>IF(L4&lt;=20%,"Muy baja",IF(L4&lt;=40%,"Baja",IF(L4&lt;=60%,"Media",IF(L4&lt;=80%,"Alta",IF(L4&lt;=100%,"Muy alta",IF(L4&gt;=100%,"Muy alta",""))))))</f>
        <v>Baja</v>
      </c>
      <c r="W4" s="464">
        <f>+IFERROR(VLOOKUP(V4,formulas!$F$1:$G$6,2,FALSE),"")</f>
        <v>0.4</v>
      </c>
      <c r="X4" s="630" t="str">
        <f>IF(U4=20%,"Leve",IF(U4=40%,"Menor",IF(U4=60%,"Moderado",IF(U4=80%,"Mayor",IF(U4=100%,"Catastrófico","")))))</f>
        <v>Mayor</v>
      </c>
      <c r="Y4" s="464">
        <f>+IFERROR(VLOOKUP(X4,formulas!$H$1:$I$6,2,FALSE),"")</f>
        <v>0.8</v>
      </c>
      <c r="Z4" s="630" t="str">
        <f>+IFERROR(VLOOKUP(V4&amp;X4,formulas!$C$2:$D$26,2,FALSE),"")</f>
        <v>Alto</v>
      </c>
      <c r="AA4" s="464">
        <f>IF(Z4="Bajo",25%,IF(Z4="Moderado",50%,IF(Z4="Alto",75%,IF(Z4="Extremo",100%,""))))</f>
        <v>0.75</v>
      </c>
      <c r="AB4" s="466" t="s">
        <v>587</v>
      </c>
      <c r="AC4" s="467" t="s">
        <v>588</v>
      </c>
      <c r="AD4" s="468" t="s">
        <v>39</v>
      </c>
      <c r="AE4" s="464">
        <f t="shared" ref="AE4:AE16" si="0">IF(AD4="Preventivo",25%,IF(AD4="Detectivo",15%,IF(AD4="Correctivo",10%,"")))</f>
        <v>0.15</v>
      </c>
      <c r="AF4" s="468" t="s">
        <v>229</v>
      </c>
      <c r="AG4" s="464">
        <f>IF(AF4="Manual",15%,IF(AF4="Automático",25%,""))</f>
        <v>0.15</v>
      </c>
      <c r="AH4" s="464">
        <f t="shared" ref="AH4:AH16" si="1">+AG4+AE4</f>
        <v>0.3</v>
      </c>
      <c r="AI4" s="468" t="s">
        <v>230</v>
      </c>
      <c r="AJ4" s="468" t="s">
        <v>24</v>
      </c>
      <c r="AK4" s="468" t="s">
        <v>589</v>
      </c>
      <c r="AL4" s="469">
        <f>+AA4*AH4</f>
        <v>0.22499999999999998</v>
      </c>
      <c r="AM4" s="469">
        <f>+AA4-AL4</f>
        <v>0.52500000000000002</v>
      </c>
      <c r="AN4" s="630" t="str">
        <f>+IF(C4="Corrupción","Moderado",IF(AM4&lt;=25%,"Bajo",IF(AM4&lt;=50%,"Moderado",IF(AM4&lt;=75%,"Alto",IF(AM4&gt;75%,"Extremo","")))))</f>
        <v>Alto</v>
      </c>
      <c r="AO4" s="470" t="s">
        <v>59</v>
      </c>
      <c r="AP4" s="471">
        <v>1</v>
      </c>
      <c r="AQ4" s="472" t="s">
        <v>590</v>
      </c>
      <c r="AR4" s="156" t="s">
        <v>591</v>
      </c>
      <c r="AS4" s="157"/>
      <c r="AT4" s="157"/>
      <c r="AU4" s="156"/>
      <c r="AV4" s="156"/>
      <c r="AW4" s="156"/>
      <c r="AX4" s="156"/>
      <c r="AY4" s="156"/>
      <c r="AZ4" s="156"/>
      <c r="BA4" s="156"/>
      <c r="BB4" s="156"/>
      <c r="BC4" s="156"/>
      <c r="BD4" s="156"/>
      <c r="BE4" s="156"/>
      <c r="BF4" s="248"/>
      <c r="BG4" s="248"/>
    </row>
    <row r="5" spans="1:59" ht="198.75" customHeight="1" thickTop="1" thickBot="1">
      <c r="A5" s="158" t="s">
        <v>51</v>
      </c>
      <c r="B5" s="159" t="s">
        <v>85</v>
      </c>
      <c r="C5" s="159" t="s">
        <v>58</v>
      </c>
      <c r="D5" s="159" t="s">
        <v>79</v>
      </c>
      <c r="E5" s="159" t="s">
        <v>80</v>
      </c>
      <c r="F5" s="571" t="s">
        <v>592</v>
      </c>
      <c r="G5" s="160" t="s">
        <v>223</v>
      </c>
      <c r="H5" s="152" t="s">
        <v>593</v>
      </c>
      <c r="I5" s="152" t="s">
        <v>594</v>
      </c>
      <c r="J5" s="152" t="s">
        <v>95</v>
      </c>
      <c r="K5" s="152">
        <v>0</v>
      </c>
      <c r="L5" s="241">
        <f>IF(J5="Diaria",+(K5/360),IF(J5="Semanal",+(K5/52),IF(J5="Mensual",+(K5/12),IF(J5="Bimestral",+(K5/6),IF(J5="Trimestral",+(K5/4),IF(J5="Semestral",+(K5/2),IF(J5="Anual",+(K5/1),"")))))))</f>
        <v>0</v>
      </c>
      <c r="M5" s="159" t="s">
        <v>73</v>
      </c>
      <c r="N5" s="241">
        <f t="shared" ref="N5:N16" si="2">IF(M5="Menor al 1% del patrimonio de la Lotería de Bogotá",20%,IF(M5="Entre el 1% y el 3% del patrimonio de la Lotería de Bogotá",40%,IF(M5="Entre el 3% y el 6% del patrimonio de la Lotería de Bogotá",60%,IF(M5="Entre el 6% y el 10% del patrimonio de la Lotería de Bogotá",80%,IF(M5="Mayor al 10% del patrimonio de la Lotería de Bogotá",100%,IF(M5="NA",0%,""))))))</f>
        <v>0</v>
      </c>
      <c r="O5" s="159" t="s">
        <v>31</v>
      </c>
      <c r="P5" s="241">
        <f>IF(O5="El riesgo afecta la imagen de algún área de la organización",20%,IF(O5="El riesgo afecta la imagen de la entidad internamente, de conocimiento general nivel interno, de junta directiva y accionistas y/o de proveedores",40%,IF(O5="El riesgo afecta la imagen de la entidad con algunos usuarios de relevancia frente al logro de los objetivos",60%,IF(O5="El riesgo afecta la imagen de la entidad con efecto publicitario sostenido a nivel de sector administrativo, nivel departamental o municipal",80%,IF(O5="El riesgo afecta la imagen de la entidad a nivel nacional, con efecto publicitario sostenido a nivel país",100%,IF(O5="NA",0%,""))))))</f>
        <v>0.2</v>
      </c>
      <c r="Q5" s="475" t="s">
        <v>73</v>
      </c>
      <c r="R5" s="712">
        <f t="shared" ref="R5:R16" si="3">IF(Q5="Interrupción de la operación por menos de un día",20%,IF(Q5="Interrupción de la operación por un día completo",40%,IF(Q5="Interrupción de la operación mayor a 1 día y menor a 2 días",60%,IF(Q5="Interrupción de la operación por dos días completos",80%,IF(Q5="Interrupción de la operación por más de dos días",100%,IF(Q5="NA",0%,""))))))</f>
        <v>0</v>
      </c>
      <c r="S5" s="476" t="s">
        <v>60</v>
      </c>
      <c r="T5" s="476" t="s">
        <v>61</v>
      </c>
      <c r="U5" s="712">
        <f t="shared" ref="U5:U16" si="4">+MAX(N5,P5,R5)</f>
        <v>0.2</v>
      </c>
      <c r="V5" s="420" t="str">
        <f t="shared" ref="V5:V16" si="5">IF(L5&lt;=20%,"Muy baja",IF(L5&lt;=40%,"Baja",IF(L5&lt;=60%,"Media",IF(L5&lt;=80%,"Alta",IF(L5&lt;=100%,"Muy alta",IF(L5&gt;=100%,"Muy alta",""))))))</f>
        <v>Muy baja</v>
      </c>
      <c r="W5" s="712">
        <f>+IFERROR(VLOOKUP(V5,formulas!$F$1:$G$6,2,FALSE),"")</f>
        <v>0.2</v>
      </c>
      <c r="X5" s="619" t="str">
        <f t="shared" ref="X5:X16" si="6">IF(U5=20%,"Leve",IF(U5=40%,"Menor",IF(U5=60%,"Moderado",IF(U5=80%,"Mayor",IF(U5=100%,"Catastrófico","")))))</f>
        <v>Leve</v>
      </c>
      <c r="Y5" s="712">
        <f>+IFERROR(VLOOKUP(X5,formulas!$H$1:$I$6,2,FALSE),"")</f>
        <v>0.2</v>
      </c>
      <c r="Z5" s="619" t="str">
        <f>+IFERROR(VLOOKUP(V5&amp;X5,formulas!$C$2:$D$26,2,FALSE),"")</f>
        <v>Bajo</v>
      </c>
      <c r="AA5" s="712">
        <f t="shared" ref="AA5:AA16" si="7">IF(Z5="Bajo",25%,IF(Z5="Moderado",50%,IF(Z5="Alto",75%,IF(Z5="Extremo",100%,""))))</f>
        <v>0.25</v>
      </c>
      <c r="AB5" s="721" t="s">
        <v>595</v>
      </c>
      <c r="AC5" s="727" t="s">
        <v>596</v>
      </c>
      <c r="AD5" s="727" t="s">
        <v>39</v>
      </c>
      <c r="AE5" s="712">
        <f t="shared" si="0"/>
        <v>0.15</v>
      </c>
      <c r="AF5" s="727" t="s">
        <v>229</v>
      </c>
      <c r="AG5" s="712">
        <f t="shared" ref="AG5:AG17" si="8">IF(AF5="Manual",15%,IF(AF5="Automático",25%,""))</f>
        <v>0.15</v>
      </c>
      <c r="AH5" s="712">
        <f t="shared" si="1"/>
        <v>0.3</v>
      </c>
      <c r="AI5" s="727" t="s">
        <v>230</v>
      </c>
      <c r="AJ5" s="727" t="s">
        <v>24</v>
      </c>
      <c r="AK5" s="727" t="s">
        <v>597</v>
      </c>
      <c r="AL5" s="635">
        <f t="shared" ref="AL5:AL16" si="9">+AA5*AH5</f>
        <v>7.4999999999999997E-2</v>
      </c>
      <c r="AM5" s="635">
        <f t="shared" ref="AM5:AM16" si="10">+AA5-AL5</f>
        <v>0.17499999999999999</v>
      </c>
      <c r="AN5" s="619" t="str">
        <f>+IF(C5="Corrupción","Moderado",IF(AM5&lt;=25%,"Bajo",IF(AM5&lt;=50%,"Moderado",IF(AM5&lt;=75%,"Alto",IF(AM5&gt;75%,"Extremo","")))))</f>
        <v>Moderado</v>
      </c>
      <c r="AO5" s="477" t="s">
        <v>59</v>
      </c>
      <c r="AP5" s="462">
        <v>1</v>
      </c>
      <c r="AQ5" s="463" t="s">
        <v>598</v>
      </c>
      <c r="AR5" s="159" t="e">
        <f>+#REF!</f>
        <v>#REF!</v>
      </c>
      <c r="AS5" s="157"/>
      <c r="AT5" s="157"/>
      <c r="AU5" s="156"/>
      <c r="AV5" s="156"/>
      <c r="AW5" s="156"/>
      <c r="AX5" s="156"/>
      <c r="AY5" s="156"/>
      <c r="AZ5" s="156"/>
      <c r="BA5" s="156"/>
      <c r="BB5" s="156"/>
      <c r="BC5" s="156"/>
      <c r="BD5" s="156"/>
      <c r="BE5" s="156"/>
      <c r="BF5" s="243"/>
      <c r="BG5" s="243"/>
    </row>
    <row r="6" spans="1:59" ht="260.25" customHeight="1" thickTop="1" thickBot="1">
      <c r="A6" s="151" t="s">
        <v>51</v>
      </c>
      <c r="B6" s="152" t="s">
        <v>85</v>
      </c>
      <c r="C6" s="156" t="s">
        <v>152</v>
      </c>
      <c r="D6" s="152" t="s">
        <v>79</v>
      </c>
      <c r="E6" s="152" t="s">
        <v>36</v>
      </c>
      <c r="F6" s="571" t="s">
        <v>599</v>
      </c>
      <c r="G6" s="160" t="s">
        <v>600</v>
      </c>
      <c r="H6" s="152" t="s">
        <v>601</v>
      </c>
      <c r="I6" s="152" t="s">
        <v>602</v>
      </c>
      <c r="J6" s="152" t="s">
        <v>95</v>
      </c>
      <c r="K6" s="152">
        <v>1</v>
      </c>
      <c r="L6" s="241">
        <f>IF(J6="Diaria",+(K6/360),IF(J6="Semanal",+(K6/52),IF(J6="Mensual",+(K6/12),IF(J6="Bimestral",+(K6/6),IF(J6="Trimestral",+(K6/4),IF(J6="Semestral",+(K6/2),IF(J6="Anual",+(K6/1),"")))))))</f>
        <v>0.5</v>
      </c>
      <c r="M6" s="156" t="s">
        <v>30</v>
      </c>
      <c r="N6" s="241">
        <f t="shared" si="2"/>
        <v>0.2</v>
      </c>
      <c r="O6" s="156" t="s">
        <v>73</v>
      </c>
      <c r="P6" s="241">
        <f>IF(O6="El riesgo afecta la imagen de algún área de la organización",20%,IF(O6="El riesgo afecta la imagen de la entidad internamente, de conocimiento general nivel interno, de junta directiva y accionistas y/o de proveedores",40%,IF(O6="El riesgo afecta la imagen de la entidad con algunos usuarios de relevancia frente al logro de los objetivos",60%,IF(O6="El riesgo afecta la imagen de la entidad con efecto publicitario sostenido a nivel de sector administrativo, nivel departamental o municipal",80%,IF(O6="El riesgo afecta la imagen de la entidad a nivel nacional, con efecto publicitario sostenido a nivel país",100%,IF(O6="NA",0%,""))))))</f>
        <v>0</v>
      </c>
      <c r="Q6" s="473" t="s">
        <v>73</v>
      </c>
      <c r="R6" s="461">
        <f t="shared" si="3"/>
        <v>0</v>
      </c>
      <c r="S6" s="474" t="s">
        <v>60</v>
      </c>
      <c r="T6" s="174" t="s">
        <v>45</v>
      </c>
      <c r="U6" s="173">
        <f t="shared" si="4"/>
        <v>0.2</v>
      </c>
      <c r="V6" s="425" t="str">
        <f t="shared" si="5"/>
        <v>Media</v>
      </c>
      <c r="W6" s="173">
        <f>+IFERROR(VLOOKUP(V6,formulas!$F$1:$G$6,2,FALSE),"")</f>
        <v>0.6</v>
      </c>
      <c r="X6" s="351" t="str">
        <f t="shared" si="6"/>
        <v>Leve</v>
      </c>
      <c r="Y6" s="173">
        <f>+IFERROR(VLOOKUP(X6,formulas!$H$1:$I$6,2,FALSE),"")</f>
        <v>0.2</v>
      </c>
      <c r="Z6" s="351" t="str">
        <f>+IFERROR(VLOOKUP(V6&amp;X6,formulas!$C$2:$D$26,2,FALSE),"")</f>
        <v>Moderado</v>
      </c>
      <c r="AA6" s="173">
        <f t="shared" si="7"/>
        <v>0.5</v>
      </c>
      <c r="AB6" s="478" t="s">
        <v>603</v>
      </c>
      <c r="AC6" s="211" t="s">
        <v>604</v>
      </c>
      <c r="AD6" s="175" t="s">
        <v>57</v>
      </c>
      <c r="AE6" s="173">
        <f t="shared" si="0"/>
        <v>0.25</v>
      </c>
      <c r="AF6" s="175" t="s">
        <v>229</v>
      </c>
      <c r="AG6" s="173">
        <f t="shared" si="8"/>
        <v>0.15</v>
      </c>
      <c r="AH6" s="173">
        <f t="shared" si="1"/>
        <v>0.4</v>
      </c>
      <c r="AI6" s="175" t="s">
        <v>230</v>
      </c>
      <c r="AJ6" s="211" t="s">
        <v>605</v>
      </c>
      <c r="AK6" s="175" t="s">
        <v>73</v>
      </c>
      <c r="AL6" s="205">
        <f t="shared" si="9"/>
        <v>0.2</v>
      </c>
      <c r="AM6" s="205">
        <f t="shared" si="10"/>
        <v>0.3</v>
      </c>
      <c r="AN6" s="351" t="str">
        <f>+IF(C6="Corrupción","Moderado",IF(AM6&lt;=25%,"Bajo",IF(AM6&lt;=50%,"Moderado",IF(AM6&lt;=75%,"Alto",IF(AM6&gt;75%,"Extremo","")))))</f>
        <v>Moderado</v>
      </c>
      <c r="AO6" s="174" t="s">
        <v>59</v>
      </c>
      <c r="AP6" s="155">
        <v>1</v>
      </c>
      <c r="AQ6" s="152" t="s">
        <v>606</v>
      </c>
      <c r="AR6" s="152" t="s">
        <v>607</v>
      </c>
      <c r="AS6" s="157"/>
      <c r="AT6" s="157"/>
      <c r="AU6" s="156"/>
      <c r="AV6" s="156"/>
      <c r="AW6" s="156"/>
      <c r="AX6" s="156"/>
      <c r="AY6" s="156"/>
      <c r="AZ6" s="156"/>
      <c r="BA6" s="156"/>
      <c r="BB6" s="156"/>
      <c r="BC6" s="156"/>
      <c r="BD6" s="156"/>
      <c r="BE6" s="156"/>
      <c r="BF6" s="243"/>
      <c r="BG6" s="243"/>
    </row>
    <row r="7" spans="1:59" ht="165.75" customHeight="1" thickTop="1" thickBot="1">
      <c r="A7" s="151" t="s">
        <v>231</v>
      </c>
      <c r="B7" s="152" t="s">
        <v>85</v>
      </c>
      <c r="C7" s="152" t="s">
        <v>58</v>
      </c>
      <c r="D7" s="152" t="s">
        <v>18</v>
      </c>
      <c r="E7" s="152" t="s">
        <v>67</v>
      </c>
      <c r="F7" s="571" t="s">
        <v>608</v>
      </c>
      <c r="G7" s="160" t="s">
        <v>241</v>
      </c>
      <c r="H7" s="152" t="s">
        <v>609</v>
      </c>
      <c r="I7" s="152" t="s">
        <v>610</v>
      </c>
      <c r="J7" s="152" t="s">
        <v>89</v>
      </c>
      <c r="K7" s="152">
        <v>1</v>
      </c>
      <c r="L7" s="241">
        <f>IF(J7="Diaria",+(K7/360),IF(J7="Semanal",+(K7/52),IF(J7="Mensual",+(K7/12),IF(J7="Bimestral",+(K7/6),IF(J7="Trimestral",+(K7/4),IF(J7="Semestral",+(K7/2),IF(J7="Anual",+(K7/1),"")))))))</f>
        <v>0.25</v>
      </c>
      <c r="M7" s="152" t="s">
        <v>75</v>
      </c>
      <c r="N7" s="241">
        <f t="shared" si="2"/>
        <v>0.8</v>
      </c>
      <c r="O7" s="152" t="s">
        <v>64</v>
      </c>
      <c r="P7" s="241">
        <f>IF(O7="El riesgo afecta la imagen de algún área de la organización",20%,IF(O7="El riesgo afecta la imagen de la entidad internamente, de conocimiento general nivel interno, de junta directiva y accionistas y/o de proveedores",40%,IF(O7="El riesgo afecta la imagen de la entidad con algunos usuarios de relevancia frente al logro de los objetivos",60%,IF(O7="El riesgo afecta la imagen de la entidad con efecto publicitario sostenido a nivel de sector administrativo, nivel departamental o municipal",80%,IF(O7="El riesgo afecta la imagen de la entidad a nivel nacional, con efecto publicitario sostenido a nivel país",100%,IF(O7="NA",0%,""))))))</f>
        <v>0.6</v>
      </c>
      <c r="Q7" s="152" t="s">
        <v>73</v>
      </c>
      <c r="R7" s="241">
        <f t="shared" si="3"/>
        <v>0</v>
      </c>
      <c r="S7" s="465" t="s">
        <v>60</v>
      </c>
      <c r="T7" s="426" t="s">
        <v>61</v>
      </c>
      <c r="U7" s="712">
        <f t="shared" si="4"/>
        <v>0.8</v>
      </c>
      <c r="V7" s="420" t="str">
        <f t="shared" si="5"/>
        <v>Baja</v>
      </c>
      <c r="W7" s="712">
        <f>+IFERROR(VLOOKUP(V7,formulas!$F$1:$G$6,2,FALSE),"")</f>
        <v>0.4</v>
      </c>
      <c r="X7" s="619" t="str">
        <f t="shared" si="6"/>
        <v>Mayor</v>
      </c>
      <c r="Y7" s="712">
        <f>+IFERROR(VLOOKUP(X7,formulas!$H$1:$I$6,2,FALSE),"")</f>
        <v>0.8</v>
      </c>
      <c r="Z7" s="619" t="str">
        <f>+IFERROR(VLOOKUP(V7&amp;X7,formulas!$C$2:$D$26,2,FALSE),"")</f>
        <v>Alto</v>
      </c>
      <c r="AA7" s="712">
        <f t="shared" si="7"/>
        <v>0.75</v>
      </c>
      <c r="AB7" s="721" t="s">
        <v>611</v>
      </c>
      <c r="AC7" s="727" t="s">
        <v>612</v>
      </c>
      <c r="AD7" s="727" t="s">
        <v>57</v>
      </c>
      <c r="AE7" s="712">
        <f t="shared" si="0"/>
        <v>0.25</v>
      </c>
      <c r="AF7" s="727" t="s">
        <v>229</v>
      </c>
      <c r="AG7" s="712">
        <f t="shared" si="8"/>
        <v>0.15</v>
      </c>
      <c r="AH7" s="712">
        <f t="shared" si="1"/>
        <v>0.4</v>
      </c>
      <c r="AI7" s="727" t="s">
        <v>230</v>
      </c>
      <c r="AJ7" s="727" t="s">
        <v>605</v>
      </c>
      <c r="AK7" s="727" t="s">
        <v>73</v>
      </c>
      <c r="AL7" s="635">
        <f t="shared" si="9"/>
        <v>0.30000000000000004</v>
      </c>
      <c r="AM7" s="635">
        <f t="shared" si="10"/>
        <v>0.44999999999999996</v>
      </c>
      <c r="AN7" s="619" t="str">
        <f>+IF(C7="Corrupción","Moderado",IF(AM7&lt;=25%,"Bajo",IF(AM7&lt;=50%,"Moderado",IF(AM7&lt;=75%,"Alto",IF(AM7&gt;75%,"Extremo","")))))</f>
        <v>Moderado</v>
      </c>
      <c r="AO7" s="474" t="s">
        <v>59</v>
      </c>
      <c r="AP7" s="161">
        <v>1</v>
      </c>
      <c r="AQ7" s="152" t="s">
        <v>613</v>
      </c>
      <c r="AR7" s="159" t="s">
        <v>614</v>
      </c>
      <c r="AS7" s="157"/>
      <c r="AT7" s="157"/>
      <c r="AU7" s="156"/>
      <c r="AV7" s="156"/>
      <c r="AW7" s="156"/>
      <c r="AX7" s="156"/>
      <c r="AY7" s="156"/>
      <c r="AZ7" s="156"/>
      <c r="BA7" s="156"/>
      <c r="BB7" s="156"/>
      <c r="BC7" s="156"/>
      <c r="BD7" s="156"/>
      <c r="BE7" s="156"/>
      <c r="BF7" s="243"/>
      <c r="BG7" s="243"/>
    </row>
    <row r="8" spans="1:59" ht="145.5" customHeight="1" thickTop="1">
      <c r="A8" s="940" t="s">
        <v>231</v>
      </c>
      <c r="B8" s="938" t="s">
        <v>85</v>
      </c>
      <c r="C8" s="938" t="s">
        <v>92</v>
      </c>
      <c r="D8" s="938" t="s">
        <v>79</v>
      </c>
      <c r="E8" s="938" t="s">
        <v>36</v>
      </c>
      <c r="F8" s="948" t="s">
        <v>615</v>
      </c>
      <c r="G8" s="950" t="s">
        <v>616</v>
      </c>
      <c r="H8" s="938" t="s">
        <v>617</v>
      </c>
      <c r="I8" s="938" t="s">
        <v>618</v>
      </c>
      <c r="J8" s="938" t="s">
        <v>95</v>
      </c>
      <c r="K8" s="938">
        <v>1</v>
      </c>
      <c r="L8" s="941">
        <f>IF(J8="Diaria",+(K8/360),IF(J8="Semanal",+(K8/52),IF(J8="Mensual",+(K8/12),IF(J8="Bimestral",+(K8/6),IF(J8="Trimestral",+(K8/4),IF(J8="Semestral",+(K8/2),IF(J8="Anual",+(K8/1),"")))))))</f>
        <v>0.5</v>
      </c>
      <c r="M8" s="938" t="s">
        <v>63</v>
      </c>
      <c r="N8" s="941">
        <f t="shared" si="2"/>
        <v>0.6</v>
      </c>
      <c r="O8" s="938" t="s">
        <v>87</v>
      </c>
      <c r="P8" s="941">
        <f>IF(O8="El riesgo afecta la imagen de algún área de la organización",20%,IF(O8="El riesgo afecta la imagen de la entidad internamente, de conocimiento general nivel interno, de junta directiva y accionistas y/o de proveedores",40%,IF(O8="El riesgo afecta la imagen de la entidad con algunos usuarios de relevancia frente al logro de los objetivos",60%,IF(O8="El riesgo afecta la imagen de la entidad con efecto publicitario sostenido a nivel de sector administrativo, nivel departamental o municipal",80%,IF(O8="El riesgo afecta la imagen de la entidad a nivel nacional, con efecto publicitario sostenido a nivel país",100%,IF(O8="NA",0%,""))))))</f>
        <v>1</v>
      </c>
      <c r="Q8" s="938" t="s">
        <v>65</v>
      </c>
      <c r="R8" s="941">
        <f t="shared" si="3"/>
        <v>0.6</v>
      </c>
      <c r="S8" s="954" t="s">
        <v>60</v>
      </c>
      <c r="T8" s="954" t="s">
        <v>61</v>
      </c>
      <c r="U8" s="953">
        <f t="shared" si="4"/>
        <v>1</v>
      </c>
      <c r="V8" s="914" t="str">
        <f t="shared" si="5"/>
        <v>Media</v>
      </c>
      <c r="W8" s="953">
        <f>+IFERROR(VLOOKUP(V8,formulas!$F$1:$G$6,2,FALSE),"")</f>
        <v>0.6</v>
      </c>
      <c r="X8" s="820" t="str">
        <f t="shared" si="6"/>
        <v>Catastrófico</v>
      </c>
      <c r="Y8" s="953">
        <f>+IFERROR(VLOOKUP(X8,formulas!$H$1:$I$6,2,FALSE),"")</f>
        <v>1</v>
      </c>
      <c r="Z8" s="820" t="str">
        <f>+IFERROR(VLOOKUP(V8&amp;X8,formulas!$C$2:$D$26,2,FALSE),"")</f>
        <v>Extremo</v>
      </c>
      <c r="AA8" s="953">
        <f t="shared" si="7"/>
        <v>1</v>
      </c>
      <c r="AB8" s="959" t="s">
        <v>619</v>
      </c>
      <c r="AC8" s="197" t="s">
        <v>620</v>
      </c>
      <c r="AD8" s="628" t="s">
        <v>57</v>
      </c>
      <c r="AE8" s="667">
        <f t="shared" si="0"/>
        <v>0.25</v>
      </c>
      <c r="AF8" s="628" t="s">
        <v>229</v>
      </c>
      <c r="AG8" s="667">
        <f t="shared" si="8"/>
        <v>0.15</v>
      </c>
      <c r="AH8" s="667">
        <f t="shared" si="1"/>
        <v>0.4</v>
      </c>
      <c r="AI8" s="628" t="s">
        <v>230</v>
      </c>
      <c r="AJ8" s="628" t="s">
        <v>24</v>
      </c>
      <c r="AK8" s="628" t="s">
        <v>621</v>
      </c>
      <c r="AL8" s="690">
        <f>+AA8*AH8</f>
        <v>0.4</v>
      </c>
      <c r="AM8" s="690">
        <f>+AA8-AL8</f>
        <v>0.6</v>
      </c>
      <c r="AN8" s="820" t="str">
        <f>C8</f>
        <v>Gestión</v>
      </c>
      <c r="AO8" s="940" t="s">
        <v>59</v>
      </c>
      <c r="AP8" s="162">
        <v>1</v>
      </c>
      <c r="AQ8" s="664" t="s">
        <v>622</v>
      </c>
      <c r="AR8" s="163" t="s">
        <v>607</v>
      </c>
      <c r="AS8" s="164"/>
      <c r="AT8" s="164"/>
      <c r="AU8" s="165"/>
      <c r="AV8" s="165"/>
      <c r="AW8" s="165"/>
      <c r="AX8" s="165"/>
      <c r="AY8" s="165"/>
      <c r="AZ8" s="165"/>
      <c r="BA8" s="165"/>
      <c r="BB8" s="165"/>
      <c r="BC8" s="165"/>
      <c r="BD8" s="165"/>
      <c r="BE8" s="165"/>
      <c r="BF8" s="250"/>
      <c r="BG8" s="250"/>
    </row>
    <row r="9" spans="1:59" ht="114.75" customHeight="1" thickBot="1">
      <c r="A9" s="952"/>
      <c r="B9" s="939"/>
      <c r="C9" s="939"/>
      <c r="D9" s="939"/>
      <c r="E9" s="939"/>
      <c r="F9" s="949"/>
      <c r="G9" s="951"/>
      <c r="H9" s="939"/>
      <c r="I9" s="939"/>
      <c r="J9" s="939"/>
      <c r="K9" s="939"/>
      <c r="L9" s="947"/>
      <c r="M9" s="939"/>
      <c r="N9" s="947"/>
      <c r="O9" s="939"/>
      <c r="P9" s="947"/>
      <c r="Q9" s="939"/>
      <c r="R9" s="947"/>
      <c r="S9" s="955"/>
      <c r="T9" s="955"/>
      <c r="U9" s="927"/>
      <c r="V9" s="913"/>
      <c r="W9" s="927"/>
      <c r="X9" s="822"/>
      <c r="Y9" s="927"/>
      <c r="Z9" s="822"/>
      <c r="AA9" s="927"/>
      <c r="AB9" s="946"/>
      <c r="AC9" s="629" t="s">
        <v>623</v>
      </c>
      <c r="AD9" s="629" t="s">
        <v>22</v>
      </c>
      <c r="AE9" s="657">
        <f t="shared" si="0"/>
        <v>0.1</v>
      </c>
      <c r="AF9" s="629" t="s">
        <v>229</v>
      </c>
      <c r="AG9" s="657">
        <f t="shared" si="8"/>
        <v>0.15</v>
      </c>
      <c r="AH9" s="657">
        <f t="shared" si="1"/>
        <v>0.25</v>
      </c>
      <c r="AI9" s="629" t="s">
        <v>230</v>
      </c>
      <c r="AJ9" s="629" t="s">
        <v>24</v>
      </c>
      <c r="AK9" s="629" t="s">
        <v>624</v>
      </c>
      <c r="AL9" s="648">
        <f>+AM8*AH9</f>
        <v>0.15</v>
      </c>
      <c r="AM9" s="648">
        <f>+AM8-AL9</f>
        <v>0.44999999999999996</v>
      </c>
      <c r="AN9" s="822"/>
      <c r="AO9" s="952"/>
      <c r="AP9" s="166">
        <v>2</v>
      </c>
      <c r="AQ9" s="665" t="s">
        <v>625</v>
      </c>
      <c r="AR9" s="167" t="s">
        <v>607</v>
      </c>
      <c r="AS9" s="168"/>
      <c r="AT9" s="168"/>
      <c r="AU9" s="169"/>
      <c r="AV9" s="169"/>
      <c r="AW9" s="169"/>
      <c r="AX9" s="169"/>
      <c r="AY9" s="169"/>
      <c r="AZ9" s="169"/>
      <c r="BA9" s="169"/>
      <c r="BB9" s="169"/>
      <c r="BC9" s="169"/>
      <c r="BD9" s="169"/>
      <c r="BE9" s="169"/>
      <c r="BF9" s="251"/>
      <c r="BG9" s="251"/>
    </row>
    <row r="10" spans="1:59" ht="387" customHeight="1" thickTop="1">
      <c r="A10" s="940" t="s">
        <v>231</v>
      </c>
      <c r="B10" s="938" t="s">
        <v>85</v>
      </c>
      <c r="C10" s="938" t="s">
        <v>92</v>
      </c>
      <c r="D10" s="938" t="s">
        <v>626</v>
      </c>
      <c r="E10" s="938" t="s">
        <v>36</v>
      </c>
      <c r="F10" s="948" t="s">
        <v>627</v>
      </c>
      <c r="G10" s="950" t="s">
        <v>628</v>
      </c>
      <c r="H10" s="938" t="s">
        <v>629</v>
      </c>
      <c r="I10" s="938" t="s">
        <v>630</v>
      </c>
      <c r="J10" s="938" t="s">
        <v>33</v>
      </c>
      <c r="K10" s="938">
        <v>1</v>
      </c>
      <c r="L10" s="941">
        <f>IF(J10="Diaria",+(K10/360),IF(J10="Semanal",+(K10/52),IF(J10="Mensual",+(K10/12),IF(J10="Bimestral",+(K10/6),IF(J10="Trimestral",+(K10/4),IF(J10="Semestral",+(K10/2),IF(J10="Anual",+(K10/1),"")))))))</f>
        <v>2.7777777777777779E-3</v>
      </c>
      <c r="M10" s="938" t="s">
        <v>30</v>
      </c>
      <c r="N10" s="941">
        <f t="shared" si="2"/>
        <v>0.2</v>
      </c>
      <c r="O10" s="938" t="s">
        <v>87</v>
      </c>
      <c r="P10" s="941">
        <f>IF(O10="El riesgo afecta la imagen de algún área de la organización",20%,IF(O10="El riesgo afecta la imagen de la entidad internamente, de conocimiento general nivel interno, de junta directiva y accionistas y/o de proveedores",40%,IF(O10="El riesgo afecta la imagen de la entidad con algunos usuarios de relevancia frente al logro de los objetivos",60%,IF(O10="El riesgo afecta la imagen de la entidad con efecto publicitario sostenido a nivel de sector administrativo, nivel departamental o municipal",80%,IF(O10="El riesgo afecta la imagen de la entidad a nivel nacional, con efecto publicitario sostenido a nivel país",100%,IF(O10="NA",0%,""))))))</f>
        <v>1</v>
      </c>
      <c r="Q10" s="938" t="s">
        <v>73</v>
      </c>
      <c r="R10" s="941">
        <f t="shared" si="3"/>
        <v>0</v>
      </c>
      <c r="S10" s="942" t="s">
        <v>60</v>
      </c>
      <c r="T10" s="942" t="s">
        <v>61</v>
      </c>
      <c r="U10" s="944">
        <f t="shared" si="4"/>
        <v>1</v>
      </c>
      <c r="V10" s="915" t="str">
        <f t="shared" si="5"/>
        <v>Muy baja</v>
      </c>
      <c r="W10" s="944">
        <f>+IFERROR(VLOOKUP(V10,formulas!$F$1:$G$6,2,FALSE),"")</f>
        <v>0.2</v>
      </c>
      <c r="X10" s="821" t="str">
        <f t="shared" si="6"/>
        <v>Catastrófico</v>
      </c>
      <c r="Y10" s="944">
        <f>+IFERROR(VLOOKUP(X10,formulas!$H$1:$I$6,2,FALSE),"")</f>
        <v>1</v>
      </c>
      <c r="Z10" s="821" t="str">
        <f>+IFERROR(VLOOKUP(V10&amp;X10,formulas!$C$2:$D$26,2,FALSE),"")</f>
        <v>Extremo</v>
      </c>
      <c r="AA10" s="944">
        <f t="shared" si="7"/>
        <v>1</v>
      </c>
      <c r="AB10" s="945" t="s">
        <v>631</v>
      </c>
      <c r="AC10" s="362" t="s">
        <v>632</v>
      </c>
      <c r="AD10" s="362" t="s">
        <v>57</v>
      </c>
      <c r="AE10" s="666">
        <f t="shared" si="0"/>
        <v>0.25</v>
      </c>
      <c r="AF10" s="362" t="s">
        <v>229</v>
      </c>
      <c r="AG10" s="666">
        <f t="shared" si="8"/>
        <v>0.15</v>
      </c>
      <c r="AH10" s="666">
        <f t="shared" si="1"/>
        <v>0.4</v>
      </c>
      <c r="AI10" s="362" t="s">
        <v>230</v>
      </c>
      <c r="AJ10" s="362" t="s">
        <v>24</v>
      </c>
      <c r="AK10" s="362" t="s">
        <v>633</v>
      </c>
      <c r="AL10" s="268">
        <f t="shared" si="9"/>
        <v>0.4</v>
      </c>
      <c r="AM10" s="268">
        <f t="shared" si="10"/>
        <v>0.6</v>
      </c>
      <c r="AN10" s="821" t="str">
        <f>+IF(C10="Corrupción","Moderado",IF(AM11&lt;=25%,"Bajo",IF(AM11&lt;=50%,"Moderado",IF(AM11&lt;=75%,"Alto",IF(AM11&gt;75%,"Extremo","")))))</f>
        <v>Moderado</v>
      </c>
      <c r="AO10" s="940" t="s">
        <v>59</v>
      </c>
      <c r="AP10" s="162">
        <v>1</v>
      </c>
      <c r="AQ10" s="664" t="s">
        <v>634</v>
      </c>
      <c r="AR10" s="163" t="s">
        <v>607</v>
      </c>
      <c r="AS10" s="164"/>
      <c r="AT10" s="164"/>
      <c r="AU10" s="165"/>
      <c r="AV10" s="165"/>
      <c r="AW10" s="165"/>
      <c r="AX10" s="165"/>
      <c r="AY10" s="165"/>
      <c r="AZ10" s="165"/>
      <c r="BA10" s="165"/>
      <c r="BB10" s="165"/>
      <c r="BC10" s="165"/>
      <c r="BD10" s="165"/>
      <c r="BE10" s="165"/>
      <c r="BF10" s="250"/>
      <c r="BG10" s="250"/>
    </row>
    <row r="11" spans="1:59" ht="12" customHeight="1" thickBot="1">
      <c r="A11" s="952"/>
      <c r="B11" s="939"/>
      <c r="C11" s="939"/>
      <c r="D11" s="939"/>
      <c r="E11" s="939"/>
      <c r="F11" s="949"/>
      <c r="G11" s="951"/>
      <c r="H11" s="939"/>
      <c r="I11" s="939"/>
      <c r="J11" s="939"/>
      <c r="K11" s="939"/>
      <c r="L11" s="947"/>
      <c r="M11" s="939"/>
      <c r="N11" s="947"/>
      <c r="O11" s="939"/>
      <c r="P11" s="947"/>
      <c r="Q11" s="939"/>
      <c r="R11" s="927"/>
      <c r="S11" s="943"/>
      <c r="T11" s="943"/>
      <c r="U11" s="927"/>
      <c r="V11" s="913"/>
      <c r="W11" s="927"/>
      <c r="X11" s="822"/>
      <c r="Y11" s="927"/>
      <c r="Z11" s="822"/>
      <c r="AA11" s="927"/>
      <c r="AB11" s="946"/>
      <c r="AC11" s="629" t="s">
        <v>635</v>
      </c>
      <c r="AD11" s="629" t="s">
        <v>57</v>
      </c>
      <c r="AE11" s="657">
        <f t="shared" si="0"/>
        <v>0.25</v>
      </c>
      <c r="AF11" s="629" t="s">
        <v>229</v>
      </c>
      <c r="AG11" s="657">
        <f t="shared" si="8"/>
        <v>0.15</v>
      </c>
      <c r="AH11" s="657">
        <f t="shared" si="1"/>
        <v>0.4</v>
      </c>
      <c r="AI11" s="629" t="s">
        <v>230</v>
      </c>
      <c r="AJ11" s="629" t="s">
        <v>24</v>
      </c>
      <c r="AK11" s="629" t="s">
        <v>636</v>
      </c>
      <c r="AL11" s="648">
        <f>+AM10*AH11</f>
        <v>0.24</v>
      </c>
      <c r="AM11" s="648">
        <f>+AM10-AL11</f>
        <v>0.36</v>
      </c>
      <c r="AN11" s="822"/>
      <c r="AO11" s="827"/>
      <c r="AP11" s="166">
        <v>2</v>
      </c>
      <c r="AQ11" s="665" t="s">
        <v>637</v>
      </c>
      <c r="AR11" s="167" t="s">
        <v>607</v>
      </c>
      <c r="AS11" s="168"/>
      <c r="AT11" s="168"/>
      <c r="AU11" s="169"/>
      <c r="AV11" s="169"/>
      <c r="AW11" s="169"/>
      <c r="AX11" s="169"/>
      <c r="AY11" s="169"/>
      <c r="AZ11" s="169"/>
      <c r="BA11" s="169"/>
      <c r="BB11" s="169"/>
      <c r="BC11" s="169"/>
      <c r="BD11" s="169"/>
      <c r="BE11" s="169"/>
      <c r="BF11" s="251"/>
      <c r="BG11" s="251"/>
    </row>
    <row r="12" spans="1:59" ht="273" customHeight="1" thickTop="1" thickBot="1">
      <c r="A12" s="710" t="s">
        <v>231</v>
      </c>
      <c r="B12" s="722" t="s">
        <v>85</v>
      </c>
      <c r="C12" s="722" t="s">
        <v>92</v>
      </c>
      <c r="D12" s="722" t="s">
        <v>79</v>
      </c>
      <c r="E12" s="722" t="s">
        <v>36</v>
      </c>
      <c r="F12" s="572" t="s">
        <v>519</v>
      </c>
      <c r="G12" s="722" t="s">
        <v>520</v>
      </c>
      <c r="H12" s="722" t="s">
        <v>521</v>
      </c>
      <c r="I12" s="722" t="s">
        <v>522</v>
      </c>
      <c r="J12" s="722" t="s">
        <v>66</v>
      </c>
      <c r="K12" s="722">
        <v>1</v>
      </c>
      <c r="L12" s="711">
        <f>IF(J12="Diaria",+(K12/360),IF(J12="Semanal",+(K12/52),IF(J12="Mensual",+(K12/12),IF(J12="Bimestral",+(K12/6),IF(J12="Trimestral",+(K12/4),IF(J12="Semestral",+(K12/2),IF(J12="Anual",+(K12/1),"")))))))</f>
        <v>8.3333333333333329E-2</v>
      </c>
      <c r="M12" s="722" t="s">
        <v>30</v>
      </c>
      <c r="N12" s="711">
        <f t="shared" si="2"/>
        <v>0.2</v>
      </c>
      <c r="O12" s="722" t="s">
        <v>64</v>
      </c>
      <c r="P12" s="711">
        <f>IF(O12="El riesgo afecta la imagen de algún área de la organización",20%,IF(O12="El riesgo afecta la imagen de la entidad internamente, de conocimiento general nivel interno, de junta directiva y accionistas y/o de proveedores",40%,IF(O12="El riesgo afecta la imagen de la entidad con algunos usuarios de relevancia frente al logro de los objetivos",60%,IF(O12="El riesgo afecta la imagen de la entidad con efecto publicitario sostenido a nivel de sector administrativo, nivel departamental o municipal",80%,IF(O12="El riesgo afecta la imagen de la entidad a nivel nacional, con efecto publicitario sostenido a nivel país",100%,IF(O12="NA",0%,""))))))</f>
        <v>0.6</v>
      </c>
      <c r="Q12" s="722" t="s">
        <v>73</v>
      </c>
      <c r="R12" s="711">
        <f t="shared" si="3"/>
        <v>0</v>
      </c>
      <c r="S12" s="658" t="s">
        <v>60</v>
      </c>
      <c r="T12" s="658" t="s">
        <v>45</v>
      </c>
      <c r="U12" s="712">
        <f t="shared" si="4"/>
        <v>0.6</v>
      </c>
      <c r="V12" s="420" t="str">
        <f t="shared" si="5"/>
        <v>Muy baja</v>
      </c>
      <c r="W12" s="712">
        <f>+IFERROR(VLOOKUP(V12,formulas!$F$1:$G$6,2,FALSE),"")</f>
        <v>0.2</v>
      </c>
      <c r="X12" s="619" t="str">
        <f t="shared" si="6"/>
        <v>Moderado</v>
      </c>
      <c r="Y12" s="712">
        <f>+IFERROR(VLOOKUP(X12,formulas!$H$1:$I$6,2,FALSE),"")</f>
        <v>0.6</v>
      </c>
      <c r="Z12" s="619" t="str">
        <f>+IFERROR(VLOOKUP(V12&amp;X12,formulas!$C$2:$D$26,2,FALSE),"")</f>
        <v>Moderado</v>
      </c>
      <c r="AA12" s="712">
        <f t="shared" si="7"/>
        <v>0.5</v>
      </c>
      <c r="AB12" s="689" t="s">
        <v>523</v>
      </c>
      <c r="AC12" s="720" t="s">
        <v>638</v>
      </c>
      <c r="AD12" s="716" t="s">
        <v>57</v>
      </c>
      <c r="AE12" s="712">
        <f t="shared" si="0"/>
        <v>0.25</v>
      </c>
      <c r="AF12" s="716" t="s">
        <v>229</v>
      </c>
      <c r="AG12" s="712">
        <f t="shared" si="8"/>
        <v>0.15</v>
      </c>
      <c r="AH12" s="712">
        <f t="shared" si="1"/>
        <v>0.4</v>
      </c>
      <c r="AI12" s="716" t="s">
        <v>230</v>
      </c>
      <c r="AJ12" s="716" t="s">
        <v>24</v>
      </c>
      <c r="AK12" s="716" t="s">
        <v>639</v>
      </c>
      <c r="AL12" s="635">
        <f t="shared" si="9"/>
        <v>0.2</v>
      </c>
      <c r="AM12" s="635">
        <f t="shared" si="10"/>
        <v>0.3</v>
      </c>
      <c r="AN12" s="619" t="str">
        <f>+IF(C12="Corrupción","Moderado",IF(AM12&lt;=25%,"Bajo",IF(AM12&lt;=50%,"Moderado",IF(AM12&lt;=75%,"Alto",IF(AM12&gt;75%,"Extremo","")))))</f>
        <v>Moderado</v>
      </c>
      <c r="AO12" s="658" t="s">
        <v>59</v>
      </c>
      <c r="AP12" s="716">
        <v>1</v>
      </c>
      <c r="AQ12" s="716" t="s">
        <v>525</v>
      </c>
      <c r="AR12" s="170" t="s">
        <v>607</v>
      </c>
      <c r="AS12" s="242"/>
      <c r="AT12" s="242"/>
      <c r="AU12" s="170"/>
      <c r="AV12" s="170"/>
      <c r="AW12" s="170"/>
      <c r="AX12" s="170"/>
      <c r="AY12" s="170"/>
      <c r="AZ12" s="170"/>
      <c r="BA12" s="170"/>
      <c r="BB12" s="170"/>
      <c r="BC12" s="170"/>
      <c r="BD12" s="170"/>
      <c r="BE12" s="170"/>
      <c r="BF12" s="170"/>
      <c r="BG12" s="170"/>
    </row>
    <row r="13" spans="1:59" ht="249" customHeight="1" thickTop="1" thickBot="1">
      <c r="A13" s="151" t="s">
        <v>231</v>
      </c>
      <c r="B13" s="156" t="s">
        <v>153</v>
      </c>
      <c r="C13" s="156" t="s">
        <v>109</v>
      </c>
      <c r="D13" s="156" t="s">
        <v>582</v>
      </c>
      <c r="E13" s="156" t="s">
        <v>80</v>
      </c>
      <c r="F13" s="573" t="s">
        <v>640</v>
      </c>
      <c r="G13" s="156" t="s">
        <v>641</v>
      </c>
      <c r="H13" s="171" t="s">
        <v>642</v>
      </c>
      <c r="I13" s="156" t="s">
        <v>643</v>
      </c>
      <c r="J13" s="156" t="s">
        <v>33</v>
      </c>
      <c r="K13" s="156">
        <v>72</v>
      </c>
      <c r="L13" s="241">
        <f>IF(J13="Diaria",+(K13/360),IF(J13="Semanal",+(K13/52),IF(J13="Mensual",+(K13/12),IF(J13="Bimestral",+(K13/6),IF(J13="Trimestral",+(K13/4),IF(J13="Semestral",+(K13/2),IF(J13="Anual",+(K13/1),"")))))))</f>
        <v>0.2</v>
      </c>
      <c r="M13" s="156" t="s">
        <v>73</v>
      </c>
      <c r="N13" s="241">
        <f t="shared" si="2"/>
        <v>0</v>
      </c>
      <c r="O13" s="156" t="s">
        <v>87</v>
      </c>
      <c r="P13" s="241">
        <f>IF(O13="El riesgo afecta la imagen de algún área de la organización",20%,IF(O13="El riesgo afecta la imagen de la entidad internamente, de conocimiento general nivel interno, de junta directiva y accionistas y/o de proveedores",40%,IF(O13="El riesgo afecta la imagen de la entidad con algunos usuarios de relevancia frente al logro de los objetivos",60%,IF(O13="El riesgo afecta la imagen de la entidad con efecto publicitario sostenido a nivel de sector administrativo, nivel departamental o municipal",80%,IF(O13="El riesgo afecta la imagen de la entidad a nivel nacional, con efecto publicitario sostenido a nivel país",100%,IF(O13="NA",0%,""))))))</f>
        <v>1</v>
      </c>
      <c r="Q13" s="156" t="s">
        <v>73</v>
      </c>
      <c r="R13" s="241">
        <f t="shared" si="3"/>
        <v>0</v>
      </c>
      <c r="S13" s="474" t="s">
        <v>72</v>
      </c>
      <c r="T13" s="174" t="s">
        <v>28</v>
      </c>
      <c r="U13" s="173">
        <f t="shared" si="4"/>
        <v>1</v>
      </c>
      <c r="V13" s="425" t="str">
        <f t="shared" si="5"/>
        <v>Muy baja</v>
      </c>
      <c r="W13" s="173">
        <f>+IFERROR(VLOOKUP(V13,formulas!$F$1:$G$6,2,FALSE),"")</f>
        <v>0.2</v>
      </c>
      <c r="X13" s="351" t="str">
        <f t="shared" si="6"/>
        <v>Catastrófico</v>
      </c>
      <c r="Y13" s="173">
        <f>+IFERROR(VLOOKUP(X13,formulas!$H$1:$I$6,2,FALSE),"")</f>
        <v>1</v>
      </c>
      <c r="Z13" s="351" t="str">
        <f>+IFERROR(VLOOKUP(V13&amp;X13,formulas!$C$2:$D$26,2,FALSE),"")</f>
        <v>Extremo</v>
      </c>
      <c r="AA13" s="173">
        <f t="shared" si="7"/>
        <v>1</v>
      </c>
      <c r="AB13" s="479" t="s">
        <v>644</v>
      </c>
      <c r="AC13" s="411" t="s">
        <v>645</v>
      </c>
      <c r="AD13" s="175" t="s">
        <v>57</v>
      </c>
      <c r="AE13" s="173">
        <f t="shared" si="0"/>
        <v>0.25</v>
      </c>
      <c r="AF13" s="175" t="s">
        <v>229</v>
      </c>
      <c r="AG13" s="173">
        <f t="shared" si="8"/>
        <v>0.15</v>
      </c>
      <c r="AH13" s="173">
        <f t="shared" si="1"/>
        <v>0.4</v>
      </c>
      <c r="AI13" s="175" t="s">
        <v>230</v>
      </c>
      <c r="AJ13" s="175" t="s">
        <v>24</v>
      </c>
      <c r="AK13" s="175" t="s">
        <v>646</v>
      </c>
      <c r="AL13" s="205">
        <f t="shared" si="9"/>
        <v>0.4</v>
      </c>
      <c r="AM13" s="205">
        <f t="shared" si="10"/>
        <v>0.6</v>
      </c>
      <c r="AN13" s="351" t="str">
        <f>+IF(C13="Corrupción","Moderado",IF(AM13&lt;=25%,"Bajo",IF(AM13&lt;=50%,"Moderado",IF(AM13&lt;=75%,"Alto",IF(AM13&gt;75%,"Extremo","")))))</f>
        <v>Alto</v>
      </c>
      <c r="AO13" s="174" t="s">
        <v>59</v>
      </c>
      <c r="AP13" s="210"/>
      <c r="AQ13" s="210"/>
      <c r="AR13" s="562" t="s">
        <v>172</v>
      </c>
      <c r="AS13" s="244"/>
      <c r="AT13" s="244"/>
      <c r="AU13" s="243"/>
      <c r="AV13" s="243"/>
      <c r="AW13" s="243"/>
      <c r="AX13" s="243"/>
      <c r="AY13" s="243"/>
      <c r="AZ13" s="243"/>
      <c r="BA13" s="243"/>
      <c r="BB13" s="243"/>
      <c r="BC13" s="243"/>
      <c r="BD13" s="243"/>
      <c r="BE13" s="243"/>
      <c r="BF13" s="243"/>
      <c r="BG13" s="243"/>
    </row>
    <row r="14" spans="1:59" ht="331.5" customHeight="1" thickTop="1" thickBot="1">
      <c r="A14" s="151" t="s">
        <v>231</v>
      </c>
      <c r="B14" s="156" t="s">
        <v>153</v>
      </c>
      <c r="C14" s="156" t="s">
        <v>109</v>
      </c>
      <c r="D14" s="156" t="s">
        <v>582</v>
      </c>
      <c r="E14" s="156" t="s">
        <v>80</v>
      </c>
      <c r="F14" s="573" t="s">
        <v>647</v>
      </c>
      <c r="G14" s="156" t="s">
        <v>648</v>
      </c>
      <c r="H14" s="171" t="s">
        <v>649</v>
      </c>
      <c r="I14" s="156" t="s">
        <v>643</v>
      </c>
      <c r="J14" s="156" t="s">
        <v>33</v>
      </c>
      <c r="K14" s="156">
        <v>72</v>
      </c>
      <c r="L14" s="241">
        <f>IF(J14="Diaria",+(K14/360),IF(J14="Semanal",+(K14/52),IF(J14="Mensual",+(K14/12),IF(J14="Bimestral",+(K14/6),IF(J14="Trimestral",+(K14/4),IF(J14="Semestral",+(K14/2),IF(J14="Anual",+(K14/1),"")))))))</f>
        <v>0.2</v>
      </c>
      <c r="M14" s="156" t="s">
        <v>73</v>
      </c>
      <c r="N14" s="241">
        <f t="shared" si="2"/>
        <v>0</v>
      </c>
      <c r="O14" s="156" t="s">
        <v>87</v>
      </c>
      <c r="P14" s="241">
        <f>IF(O14="El riesgo afecta la imagen de algún área de la organización",20%,IF(O14="El riesgo afecta la imagen de la entidad internamente, de conocimiento general nivel interno, de junta directiva y accionistas y/o de proveedores",40%,IF(O14="El riesgo afecta la imagen de la entidad con algunos usuarios de relevancia frente al logro de los objetivos",60%,IF(O14="El riesgo afecta la imagen de la entidad con efecto publicitario sostenido a nivel de sector administrativo, nivel departamental o municipal",80%,IF(O14="El riesgo afecta la imagen de la entidad a nivel nacional, con efecto publicitario sostenido a nivel país",100%,IF(O14="NA",0%,""))))))</f>
        <v>1</v>
      </c>
      <c r="Q14" s="156" t="s">
        <v>73</v>
      </c>
      <c r="R14" s="241">
        <f t="shared" si="3"/>
        <v>0</v>
      </c>
      <c r="S14" s="151" t="s">
        <v>72</v>
      </c>
      <c r="T14" s="174" t="s">
        <v>28</v>
      </c>
      <c r="U14" s="173">
        <f t="shared" si="4"/>
        <v>1</v>
      </c>
      <c r="V14" s="425" t="str">
        <f t="shared" si="5"/>
        <v>Muy baja</v>
      </c>
      <c r="W14" s="173">
        <f>+IFERROR(VLOOKUP(V14,formulas!$F$1:$G$6,2,FALSE),"")</f>
        <v>0.2</v>
      </c>
      <c r="X14" s="351" t="str">
        <f t="shared" si="6"/>
        <v>Catastrófico</v>
      </c>
      <c r="Y14" s="173">
        <f>+IFERROR(VLOOKUP(X14,formulas!$H$1:$I$6,2,FALSE),"")</f>
        <v>1</v>
      </c>
      <c r="Z14" s="351" t="str">
        <f>+IFERROR(VLOOKUP(V14&amp;X14,formulas!$C$2:$D$26,2,FALSE),"")</f>
        <v>Extremo</v>
      </c>
      <c r="AA14" s="173">
        <f t="shared" si="7"/>
        <v>1</v>
      </c>
      <c r="AB14" s="479" t="s">
        <v>644</v>
      </c>
      <c r="AC14" s="175" t="s">
        <v>650</v>
      </c>
      <c r="AD14" s="175" t="s">
        <v>57</v>
      </c>
      <c r="AE14" s="173">
        <f t="shared" si="0"/>
        <v>0.25</v>
      </c>
      <c r="AF14" s="175" t="s">
        <v>229</v>
      </c>
      <c r="AG14" s="173">
        <f t="shared" si="8"/>
        <v>0.15</v>
      </c>
      <c r="AH14" s="173">
        <f t="shared" si="1"/>
        <v>0.4</v>
      </c>
      <c r="AI14" s="196" t="s">
        <v>230</v>
      </c>
      <c r="AJ14" s="196" t="s">
        <v>41</v>
      </c>
      <c r="AK14" s="196" t="s">
        <v>651</v>
      </c>
      <c r="AL14" s="205">
        <f t="shared" si="9"/>
        <v>0.4</v>
      </c>
      <c r="AM14" s="205">
        <f t="shared" si="10"/>
        <v>0.6</v>
      </c>
      <c r="AN14" s="351" t="str">
        <f>+IF(C14="Corrupción","Moderado",IF(AM14&lt;=25%,"Bajo",IF(AM14&lt;=50%,"Moderado",IF(AM14&lt;=75%,"Alto",IF(AM14&gt;75%,"Extremo","")))))</f>
        <v>Alto</v>
      </c>
      <c r="AO14" s="174" t="s">
        <v>59</v>
      </c>
      <c r="AP14" s="210"/>
      <c r="AQ14" s="210"/>
      <c r="AR14" s="562" t="s">
        <v>172</v>
      </c>
      <c r="AS14" s="244"/>
      <c r="AT14" s="244"/>
      <c r="AU14" s="243"/>
      <c r="AV14" s="243"/>
      <c r="AW14" s="243"/>
      <c r="AX14" s="243"/>
      <c r="AY14" s="243"/>
      <c r="AZ14" s="243"/>
      <c r="BA14" s="243"/>
      <c r="BB14" s="243"/>
      <c r="BC14" s="243"/>
      <c r="BD14" s="243"/>
      <c r="BE14" s="243"/>
      <c r="BF14" s="243"/>
      <c r="BG14" s="243"/>
    </row>
    <row r="15" spans="1:59" ht="409.6" thickTop="1" thickBot="1">
      <c r="A15" s="151" t="s">
        <v>51</v>
      </c>
      <c r="B15" s="156" t="s">
        <v>541</v>
      </c>
      <c r="C15" s="156" t="s">
        <v>58</v>
      </c>
      <c r="D15" s="156" t="s">
        <v>79</v>
      </c>
      <c r="E15" s="156" t="s">
        <v>80</v>
      </c>
      <c r="F15" s="564" t="s">
        <v>542</v>
      </c>
      <c r="G15" s="245" t="s">
        <v>457</v>
      </c>
      <c r="H15" s="152" t="s">
        <v>543</v>
      </c>
      <c r="I15" s="152" t="s">
        <v>544</v>
      </c>
      <c r="J15" s="246" t="s">
        <v>95</v>
      </c>
      <c r="K15" s="152">
        <v>1</v>
      </c>
      <c r="L15" s="241">
        <f>IF(J15="Diaria",+(K15/360),IF(J15="Semanal",+(K15/52),IF(J15="Mensual",+(K15/12),IF(J15="Bimestral",+(K15/6),IF(J15="Trimestral",+(K15/4),IF(J15="Semestral",+(K15/2),IF(J15="Anual",+(K15/1),"")))))))</f>
        <v>0.5</v>
      </c>
      <c r="M15" s="152" t="s">
        <v>47</v>
      </c>
      <c r="N15" s="241">
        <f t="shared" si="2"/>
        <v>0.4</v>
      </c>
      <c r="O15" s="154" t="s">
        <v>76</v>
      </c>
      <c r="P15" s="241">
        <f>IF(O15="El riesgo afecta la imagen de algún área de la organización",20%,IF(O15="El riesgo afecta la imagen de la entidad internamente, de conocimiento general nivel interno, de junta directiva y accionistas y/o de proveedores",40%,IF(O15="El riesgo afecta la imagen de la entidad con algunos usuarios de relevancia frente al logro de los objetivos",60%,IF(O15="El riesgo afecta la imagen de la entidad con efecto publicitario sostenido a nivel de sector administrativo, nivel departamental o municipal",80%,IF(O15="El riesgo afecta la imagen de la entidad a nivel nacional, con efecto publicitario sostenido a nivel país",100%,IF(O15="NA",0%,""))))))</f>
        <v>0.8</v>
      </c>
      <c r="Q15" s="152" t="s">
        <v>73</v>
      </c>
      <c r="R15" s="464">
        <f t="shared" si="3"/>
        <v>0</v>
      </c>
      <c r="S15" s="465" t="s">
        <v>60</v>
      </c>
      <c r="T15" s="426" t="s">
        <v>73</v>
      </c>
      <c r="U15" s="712">
        <f t="shared" si="4"/>
        <v>0.8</v>
      </c>
      <c r="V15" s="420" t="str">
        <f t="shared" si="5"/>
        <v>Media</v>
      </c>
      <c r="W15" s="712">
        <f>+IFERROR(VLOOKUP(V15,formulas!$F$1:$G$6,2,FALSE),"")</f>
        <v>0.6</v>
      </c>
      <c r="X15" s="619" t="str">
        <f t="shared" si="6"/>
        <v>Mayor</v>
      </c>
      <c r="Y15" s="712">
        <f>+IFERROR(VLOOKUP(X15,formulas!$H$1:$I$6,2,FALSE),"")</f>
        <v>0.8</v>
      </c>
      <c r="Z15" s="619" t="str">
        <f>+IFERROR(VLOOKUP(V15&amp;X15,formulas!$C$2:$D$26,2,FALSE),"")</f>
        <v>Alto</v>
      </c>
      <c r="AA15" s="712">
        <f t="shared" si="7"/>
        <v>0.75</v>
      </c>
      <c r="AB15" s="635"/>
      <c r="AC15" s="175" t="s">
        <v>545</v>
      </c>
      <c r="AD15" s="727" t="s">
        <v>57</v>
      </c>
      <c r="AE15" s="712">
        <f t="shared" si="0"/>
        <v>0.25</v>
      </c>
      <c r="AF15" s="727" t="s">
        <v>229</v>
      </c>
      <c r="AG15" s="712">
        <f t="shared" si="8"/>
        <v>0.15</v>
      </c>
      <c r="AH15" s="712">
        <f t="shared" si="1"/>
        <v>0.4</v>
      </c>
      <c r="AI15" s="727" t="s">
        <v>230</v>
      </c>
      <c r="AJ15" s="727" t="s">
        <v>24</v>
      </c>
      <c r="AK15" s="727" t="s">
        <v>546</v>
      </c>
      <c r="AL15" s="635">
        <f t="shared" si="9"/>
        <v>0.30000000000000004</v>
      </c>
      <c r="AM15" s="635">
        <f t="shared" si="10"/>
        <v>0.44999999999999996</v>
      </c>
      <c r="AN15" s="619" t="str">
        <f>+IF(C15="Corrupción","Moderado",IF(AM15&lt;=25%,"Bajo",IF(AM15&lt;=50%,"Moderado",IF(AM15&lt;=75%,"Alto",IF(AM15&gt;75%,"Extremo","")))))</f>
        <v>Moderado</v>
      </c>
      <c r="AO15" s="658" t="s">
        <v>59</v>
      </c>
      <c r="AP15" s="434"/>
      <c r="AQ15" s="717"/>
      <c r="AR15" s="491"/>
      <c r="AS15" s="244"/>
      <c r="AT15" s="244"/>
      <c r="AU15" s="243"/>
      <c r="AV15" s="243"/>
      <c r="AW15" s="243"/>
      <c r="AX15" s="243"/>
      <c r="AY15" s="243"/>
      <c r="AZ15" s="243"/>
      <c r="BA15" s="243"/>
      <c r="BB15" s="243"/>
      <c r="BC15" s="243"/>
      <c r="BD15" s="243"/>
      <c r="BE15" s="243"/>
      <c r="BF15" s="243"/>
      <c r="BG15" s="243"/>
    </row>
    <row r="16" spans="1:59" ht="269.25" thickTop="1" thickBot="1">
      <c r="A16" s="658" t="s">
        <v>231</v>
      </c>
      <c r="B16" s="716" t="s">
        <v>29</v>
      </c>
      <c r="C16" s="716" t="s">
        <v>92</v>
      </c>
      <c r="D16" s="716" t="s">
        <v>79</v>
      </c>
      <c r="E16" s="716" t="s">
        <v>36</v>
      </c>
      <c r="F16" s="574" t="s">
        <v>547</v>
      </c>
      <c r="G16" s="716" t="s">
        <v>548</v>
      </c>
      <c r="H16" s="727" t="s">
        <v>549</v>
      </c>
      <c r="I16" s="716" t="s">
        <v>550</v>
      </c>
      <c r="J16" s="716" t="s">
        <v>66</v>
      </c>
      <c r="K16" s="716">
        <v>1</v>
      </c>
      <c r="L16" s="712">
        <f>IF(J16="Diaria",+(K16/360),IF(J16="Semanal",+(K16/52),IF(J16="Mensual",+(K16/12),IF(J16="Bimestral",+(K16/6),IF(J16="Trimestral",+(K16/4),IF(J16="Semestral",+(K16/2),IF(J16="Anual",+(K16/1),"")))))))</f>
        <v>8.3333333333333329E-2</v>
      </c>
      <c r="M16" s="716" t="s">
        <v>73</v>
      </c>
      <c r="N16" s="712">
        <f t="shared" si="2"/>
        <v>0</v>
      </c>
      <c r="O16" s="716" t="s">
        <v>31</v>
      </c>
      <c r="P16" s="712">
        <f>IF(O16="El riesgo afecta la imagen de algún área de la organización",20%,IF(O16="El riesgo afecta la imagen de la entidad internamente, de conocimiento general nivel interno, de junta directiva y accionistas y/o de proveedores",40%,IF(O16="El riesgo afecta la imagen de la entidad con algunos usuarios de relevancia frente al logro de los objetivos",60%,IF(O16="El riesgo afecta la imagen de la entidad con efecto publicitario sostenido a nivel de sector administrativo, nivel departamental o municipal",80%,IF(O16="El riesgo afecta la imagen de la entidad a nivel nacional, con efecto publicitario sostenido a nivel país",100%,IF(O16="NA",0%,""))))))</f>
        <v>0.2</v>
      </c>
      <c r="Q16" s="716" t="s">
        <v>73</v>
      </c>
      <c r="R16" s="712">
        <f t="shared" si="3"/>
        <v>0</v>
      </c>
      <c r="S16" s="174" t="s">
        <v>60</v>
      </c>
      <c r="T16" s="174" t="s">
        <v>45</v>
      </c>
      <c r="U16" s="173">
        <f t="shared" si="4"/>
        <v>0.2</v>
      </c>
      <c r="V16" s="425" t="str">
        <f t="shared" si="5"/>
        <v>Muy baja</v>
      </c>
      <c r="W16" s="173">
        <f>+IFERROR(VLOOKUP(V16,formulas!$F$1:$G$6,2,FALSE),"")</f>
        <v>0.2</v>
      </c>
      <c r="X16" s="351" t="str">
        <f t="shared" si="6"/>
        <v>Leve</v>
      </c>
      <c r="Y16" s="173">
        <f>+IFERROR(VLOOKUP(X16,formulas!$H$1:$I$6,2,FALSE),"")</f>
        <v>0.2</v>
      </c>
      <c r="Z16" s="351" t="str">
        <f>+IFERROR(VLOOKUP(V16&amp;X16,formulas!$C$2:$D$26,2,FALSE),"")</f>
        <v>Bajo</v>
      </c>
      <c r="AA16" s="173">
        <f t="shared" si="7"/>
        <v>0.25</v>
      </c>
      <c r="AB16" s="204" t="s">
        <v>551</v>
      </c>
      <c r="AC16" s="211" t="s">
        <v>552</v>
      </c>
      <c r="AD16" s="175" t="s">
        <v>57</v>
      </c>
      <c r="AE16" s="173">
        <f t="shared" si="0"/>
        <v>0.25</v>
      </c>
      <c r="AF16" s="175" t="s">
        <v>553</v>
      </c>
      <c r="AG16" s="173">
        <f t="shared" si="8"/>
        <v>0.25</v>
      </c>
      <c r="AH16" s="173">
        <f t="shared" si="1"/>
        <v>0.5</v>
      </c>
      <c r="AI16" s="211" t="s">
        <v>230</v>
      </c>
      <c r="AJ16" s="175" t="s">
        <v>24</v>
      </c>
      <c r="AK16" s="175" t="s">
        <v>554</v>
      </c>
      <c r="AL16" s="205">
        <f t="shared" si="9"/>
        <v>0.125</v>
      </c>
      <c r="AM16" s="205">
        <f t="shared" si="10"/>
        <v>0.125</v>
      </c>
      <c r="AN16" s="351" t="str">
        <f>+IF(C16="Corrupción","Moderado",IF(AM16&lt;=25%,"Bajo",IF(AM16&lt;=50%,"Moderado",IF(AM16&lt;=75%,"Alto",IF(AM16&gt;75%,"Extremo","")))))</f>
        <v>Bajo</v>
      </c>
      <c r="AO16" s="174" t="s">
        <v>59</v>
      </c>
      <c r="AP16" s="727"/>
      <c r="AQ16" s="716"/>
      <c r="AR16" s="492"/>
      <c r="AS16" s="247"/>
      <c r="AT16" s="247"/>
      <c r="AU16" s="720"/>
      <c r="AV16" s="720"/>
      <c r="AW16" s="720"/>
      <c r="AX16" s="720"/>
      <c r="AY16" s="720"/>
      <c r="AZ16" s="720"/>
      <c r="BA16" s="720"/>
      <c r="BB16" s="720"/>
      <c r="BC16" s="720"/>
      <c r="BD16" s="720"/>
      <c r="BE16" s="720"/>
      <c r="BF16" s="720"/>
      <c r="BG16" s="720"/>
    </row>
    <row r="17" spans="33:39">
      <c r="AG17" s="685" t="str">
        <f t="shared" si="8"/>
        <v/>
      </c>
      <c r="AL17" s="87"/>
      <c r="AM17" s="87"/>
    </row>
  </sheetData>
  <mergeCells count="81">
    <mergeCell ref="AV2:AZ2"/>
    <mergeCell ref="AL2:AN3"/>
    <mergeCell ref="AO2:AO3"/>
    <mergeCell ref="AP2:AQ3"/>
    <mergeCell ref="AR2:AR3"/>
    <mergeCell ref="AS2:AS3"/>
    <mergeCell ref="AP1:AU1"/>
    <mergeCell ref="AT2:AT3"/>
    <mergeCell ref="AU2:AU3"/>
    <mergeCell ref="AI2:AK2"/>
    <mergeCell ref="R8:R9"/>
    <mergeCell ref="AD2:AG2"/>
    <mergeCell ref="AH2:AH3"/>
    <mergeCell ref="AB8:AB9"/>
    <mergeCell ref="AN8:AN9"/>
    <mergeCell ref="T8:T9"/>
    <mergeCell ref="U8:U9"/>
    <mergeCell ref="V8:V9"/>
    <mergeCell ref="G8:G9"/>
    <mergeCell ref="Q8:Q9"/>
    <mergeCell ref="AO8:AO9"/>
    <mergeCell ref="AV1:BE1"/>
    <mergeCell ref="AC2:AC3"/>
    <mergeCell ref="BA2:BE2"/>
    <mergeCell ref="G3:H3"/>
    <mergeCell ref="AJ3:AK3"/>
    <mergeCell ref="I8:I9"/>
    <mergeCell ref="U1:AB2"/>
    <mergeCell ref="AC1:AK1"/>
    <mergeCell ref="AM1:AO1"/>
    <mergeCell ref="A1:T2"/>
    <mergeCell ref="N8:N9"/>
    <mergeCell ref="O8:O9"/>
    <mergeCell ref="F8:F9"/>
    <mergeCell ref="A8:A9"/>
    <mergeCell ref="B8:B9"/>
    <mergeCell ref="C8:C9"/>
    <mergeCell ref="D8:D9"/>
    <mergeCell ref="E8:E9"/>
    <mergeCell ref="X10:X11"/>
    <mergeCell ref="Z10:Z11"/>
    <mergeCell ref="AA10:AA11"/>
    <mergeCell ref="Y10:Y11"/>
    <mergeCell ref="H8:H9"/>
    <mergeCell ref="W8:W9"/>
    <mergeCell ref="P8:P9"/>
    <mergeCell ref="J8:J9"/>
    <mergeCell ref="K8:K9"/>
    <mergeCell ref="L8:L9"/>
    <mergeCell ref="M8:M9"/>
    <mergeCell ref="X8:X9"/>
    <mergeCell ref="Y8:Y9"/>
    <mergeCell ref="Z8:Z9"/>
    <mergeCell ref="AA8:AA9"/>
    <mergeCell ref="S8:S9"/>
    <mergeCell ref="A10:A11"/>
    <mergeCell ref="B10:B11"/>
    <mergeCell ref="C10:C11"/>
    <mergeCell ref="D10:D11"/>
    <mergeCell ref="E10:E11"/>
    <mergeCell ref="F10:F11"/>
    <mergeCell ref="G10:G11"/>
    <mergeCell ref="H10:H11"/>
    <mergeCell ref="I10:I11"/>
    <mergeCell ref="J10:J11"/>
    <mergeCell ref="K10:K11"/>
    <mergeCell ref="M10:M11"/>
    <mergeCell ref="AO10:AO11"/>
    <mergeCell ref="R10:R11"/>
    <mergeCell ref="S10:S11"/>
    <mergeCell ref="T10:T11"/>
    <mergeCell ref="U10:U11"/>
    <mergeCell ref="AB10:AB11"/>
    <mergeCell ref="AN10:AN11"/>
    <mergeCell ref="V10:V11"/>
    <mergeCell ref="L10:L11"/>
    <mergeCell ref="N10:N11"/>
    <mergeCell ref="O10:O11"/>
    <mergeCell ref="P10:P11"/>
    <mergeCell ref="W10:W11"/>
    <mergeCell ref="Q10:Q11"/>
  </mergeCells>
  <conditionalFormatting sqref="V4:V8 V10 V12:V16">
    <cfRule type="expression" dxfId="446" priority="32" stopIfTrue="1">
      <formula>NOT(ISERROR(SEARCH("Muy alta",V4)))</formula>
    </cfRule>
    <cfRule type="expression" dxfId="445" priority="33" stopIfTrue="1">
      <formula>NOT(ISERROR(SEARCH("Alta",V4)))</formula>
    </cfRule>
    <cfRule type="expression" dxfId="444" priority="34" stopIfTrue="1">
      <formula>NOT(ISERROR(SEARCH("Media",V4)))</formula>
    </cfRule>
  </conditionalFormatting>
  <conditionalFormatting sqref="X4:X8 X10 X12:X16">
    <cfRule type="containsText" dxfId="443" priority="9" operator="containsText" text="Catastrófico">
      <formula>NOT(ISERROR(SEARCH("Catastrófico",X4)))</formula>
    </cfRule>
    <cfRule type="containsText" dxfId="442" priority="10" operator="containsText" text="Mayor">
      <formula>NOT(ISERROR(SEARCH("Mayor",X4)))</formula>
    </cfRule>
    <cfRule type="containsText" dxfId="441" priority="11" operator="containsText" text="Moderado">
      <formula>NOT(ISERROR(SEARCH("Moderado",X4)))</formula>
    </cfRule>
    <cfRule type="containsText" dxfId="440" priority="12" operator="containsText" text="Menor">
      <formula>NOT(ISERROR(SEARCH("Menor",X4)))</formula>
    </cfRule>
    <cfRule type="containsText" dxfId="439" priority="13" operator="containsText" text="Leve">
      <formula>NOT(ISERROR(SEARCH("Leve",X4)))</formula>
    </cfRule>
  </conditionalFormatting>
  <conditionalFormatting sqref="Z4:Z8 Z10 Z12:Z16">
    <cfRule type="containsText" dxfId="438" priority="5" operator="containsText" text="Alto">
      <formula>NOT(ISERROR(SEARCH("Alto",Z4)))</formula>
    </cfRule>
    <cfRule type="containsText" dxfId="437" priority="6" operator="containsText" text="Moderado">
      <formula>NOT(ISERROR(SEARCH("Moderado",Z4)))</formula>
    </cfRule>
    <cfRule type="containsText" dxfId="436" priority="7" operator="containsText" text="Extremo">
      <formula>NOT(ISERROR(SEARCH("Extremo",Z4)))</formula>
    </cfRule>
    <cfRule type="containsText" dxfId="435" priority="8" operator="containsText" text="Bajo">
      <formula>NOT(ISERROR(SEARCH("Bajo",Z4)))</formula>
    </cfRule>
  </conditionalFormatting>
  <conditionalFormatting sqref="AI4:AI7 AI8:AK11">
    <cfRule type="containsText" dxfId="434" priority="25" operator="containsText" text="BAJA">
      <formula>NOT(ISERROR(SEARCH("BAJA",AI4)))</formula>
    </cfRule>
    <cfRule type="containsText" dxfId="433" priority="26" operator="containsText" text="MEDIA">
      <formula>NOT(ISERROR(SEARCH("MEDIA",AI4)))</formula>
    </cfRule>
  </conditionalFormatting>
  <conditionalFormatting sqref="AI4:AI7">
    <cfRule type="containsText" dxfId="432" priority="28" operator="containsText" text="ALTA">
      <formula>NOT(ISERROR(SEARCH("ALTA",AI4)))</formula>
    </cfRule>
  </conditionalFormatting>
  <conditionalFormatting sqref="AI13:AI16">
    <cfRule type="containsText" dxfId="431" priority="19" operator="containsText" text="BAJA">
      <formula>NOT(ISERROR(SEARCH("BAJA",AI13)))</formula>
    </cfRule>
    <cfRule type="containsText" dxfId="430" priority="20" operator="containsText" text="MEDIA">
      <formula>NOT(ISERROR(SEARCH("MEDIA",AI13)))</formula>
    </cfRule>
    <cfRule type="containsText" dxfId="429" priority="21" operator="containsText" text="ALTA">
      <formula>NOT(ISERROR(SEARCH("ALTA",AI13)))</formula>
    </cfRule>
  </conditionalFormatting>
  <conditionalFormatting sqref="AI12:AJ12">
    <cfRule type="containsText" dxfId="428" priority="22" operator="containsText" text="BAJA">
      <formula>NOT(ISERROR(SEARCH("BAJA",AI12)))</formula>
    </cfRule>
    <cfRule type="containsText" dxfId="427" priority="23" operator="containsText" text="MEDIA">
      <formula>NOT(ISERROR(SEARCH("MEDIA",AI12)))</formula>
    </cfRule>
    <cfRule type="containsText" dxfId="426" priority="24" operator="containsText" text="ALTA">
      <formula>NOT(ISERROR(SEARCH("ALTA",AI12)))</formula>
    </cfRule>
  </conditionalFormatting>
  <conditionalFormatting sqref="AI8:AK11">
    <cfRule type="containsText" dxfId="425" priority="27" operator="containsText" text="ALTA">
      <formula>NOT(ISERROR(SEARCH("ALTA",AI8)))</formula>
    </cfRule>
  </conditionalFormatting>
  <conditionalFormatting sqref="AK5:AK7">
    <cfRule type="containsText" dxfId="424" priority="29" operator="containsText" text="BAJA">
      <formula>NOT(ISERROR(SEARCH("BAJA",AK5)))</formula>
    </cfRule>
    <cfRule type="containsText" dxfId="423" priority="30" operator="containsText" text="MEDIA">
      <formula>NOT(ISERROR(SEARCH("MEDIA",AK5)))</formula>
    </cfRule>
    <cfRule type="containsText" dxfId="422" priority="31" operator="containsText" text="ALTA">
      <formula>NOT(ISERROR(SEARCH("ALTA",AK5)))</formula>
    </cfRule>
  </conditionalFormatting>
  <dataValidations count="4">
    <dataValidation type="list" allowBlank="1" showInputMessage="1" showErrorMessage="1" sqref="AO13:AO14">
      <formula1>INDIRECT("TRAT[TRATAMIENTO]")</formula1>
    </dataValidation>
    <dataValidation type="list" allowBlank="1" showInputMessage="1" showErrorMessage="1" sqref="A4:A16">
      <formula1>"SI,NO"</formula1>
    </dataValidation>
    <dataValidation type="list" allowBlank="1" showInputMessage="1" showErrorMessage="1" sqref="AI4:AI16">
      <formula1>"Confiable,No confiable"</formula1>
    </dataValidation>
    <dataValidation type="list" allowBlank="1" showInputMessage="1" showErrorMessage="1" sqref="AF4:AF16">
      <formula1>"Manual,Automático"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Listas</vt:lpstr>
      <vt:lpstr>Control de cambios</vt:lpstr>
      <vt:lpstr>Ayudas diligenciamiento</vt:lpstr>
      <vt:lpstr>Inventario</vt:lpstr>
      <vt:lpstr>formulas</vt:lpstr>
      <vt:lpstr>Riesgos de Corrupción</vt:lpstr>
      <vt:lpstr>Planeacion y D Estratégico</vt:lpstr>
      <vt:lpstr>G. Comunicaciones</vt:lpstr>
      <vt:lpstr>Explotación JSA AP</vt:lpstr>
      <vt:lpstr>Explotación JSA DOPC</vt:lpstr>
      <vt:lpstr>Control, Ins y Fisca</vt:lpstr>
      <vt:lpstr>Recaudo</vt:lpstr>
      <vt:lpstr>Atención al cliente</vt:lpstr>
      <vt:lpstr>G. TH</vt:lpstr>
      <vt:lpstr>G. Financiera</vt:lpstr>
      <vt:lpstr>Gestión ByS</vt:lpstr>
      <vt:lpstr>G. Documental</vt:lpstr>
      <vt:lpstr>G. TIC</vt:lpstr>
      <vt:lpstr>G. Jurídica</vt:lpstr>
      <vt:lpstr>Evaluación Independiente G</vt:lpstr>
      <vt:lpstr>Control Disciplinario Interno</vt:lpstr>
      <vt:lpstr>Protección de Datos Personales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lll</dc:creator>
  <cp:keywords/>
  <dc:description/>
  <cp:lastModifiedBy>User</cp:lastModifiedBy>
  <cp:revision/>
  <dcterms:created xsi:type="dcterms:W3CDTF">2025-10-24T01:14:09Z</dcterms:created>
  <dcterms:modified xsi:type="dcterms:W3CDTF">2026-01-28T20:33:01Z</dcterms:modified>
  <cp:category/>
  <cp:contentStatus/>
</cp:coreProperties>
</file>